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76" activeTab="0"/>
  </bookViews>
  <sheets>
    <sheet name="old caps and old redistribution" sheetId="1" r:id="rId1"/>
    <sheet name="Old Caps + new redistribution" sheetId="2" r:id="rId2"/>
    <sheet name="New Caps + new redistribu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dena.harris</author>
  </authors>
  <commentList>
    <comment ref="E32" authorId="0">
      <text>
        <r>
          <rPr>
            <b/>
            <sz val="8"/>
            <rFont val="Tahoma"/>
            <family val="0"/>
          </rPr>
          <t>dena.harris:</t>
        </r>
        <r>
          <rPr>
            <sz val="8"/>
            <rFont val="Tahoma"/>
            <family val="0"/>
          </rPr>
          <t xml:space="preserve">
I have assumed this is 50% of the total GSP Take</t>
        </r>
      </text>
    </comment>
    <comment ref="F18" authorId="0">
      <text>
        <r>
          <rPr>
            <b/>
            <sz val="8"/>
            <rFont val="Tahoma"/>
            <family val="0"/>
          </rPr>
          <t>dena.harris:</t>
        </r>
        <r>
          <rPr>
            <sz val="8"/>
            <rFont val="Tahoma"/>
            <family val="0"/>
          </rPr>
          <t xml:space="preserve">
it is assumed that each Supplier has the same share of NHH as of the total.  Can change this formula to change this assumption</t>
        </r>
      </text>
    </comment>
  </commentList>
</comments>
</file>

<file path=xl/comments2.xml><?xml version="1.0" encoding="utf-8"?>
<comments xmlns="http://schemas.openxmlformats.org/spreadsheetml/2006/main">
  <authors>
    <author>dena.harris</author>
  </authors>
  <commentList>
    <comment ref="E44" authorId="0">
      <text>
        <r>
          <rPr>
            <b/>
            <sz val="8"/>
            <rFont val="Tahoma"/>
            <family val="0"/>
          </rPr>
          <t>dena.harris:</t>
        </r>
        <r>
          <rPr>
            <sz val="8"/>
            <rFont val="Tahoma"/>
            <family val="0"/>
          </rPr>
          <t xml:space="preserve">
I have assumed this is 50% of the total GSP Take</t>
        </r>
      </text>
    </comment>
    <comment ref="F18" authorId="0">
      <text>
        <r>
          <rPr>
            <b/>
            <sz val="8"/>
            <rFont val="Tahoma"/>
            <family val="0"/>
          </rPr>
          <t>dena.harris:</t>
        </r>
        <r>
          <rPr>
            <sz val="8"/>
            <rFont val="Tahoma"/>
            <family val="0"/>
          </rPr>
          <t xml:space="preserve">
it is assumed that each Supplier has the same share of NHH as of the total.  Can change this formula to change this assumption</t>
        </r>
      </text>
    </comment>
  </commentList>
</comments>
</file>

<file path=xl/comments3.xml><?xml version="1.0" encoding="utf-8"?>
<comments xmlns="http://schemas.openxmlformats.org/spreadsheetml/2006/main">
  <authors>
    <author>dena.harris</author>
  </authors>
  <commentList>
    <comment ref="E44" authorId="0">
      <text>
        <r>
          <rPr>
            <b/>
            <sz val="8"/>
            <rFont val="Tahoma"/>
            <family val="0"/>
          </rPr>
          <t>dena.harris:</t>
        </r>
        <r>
          <rPr>
            <sz val="8"/>
            <rFont val="Tahoma"/>
            <family val="0"/>
          </rPr>
          <t xml:space="preserve">
I have assumed this is 50% of the total GSP Take</t>
        </r>
      </text>
    </comment>
    <comment ref="F18" authorId="0">
      <text>
        <r>
          <rPr>
            <b/>
            <sz val="8"/>
            <rFont val="Tahoma"/>
            <family val="0"/>
          </rPr>
          <t>dena.harris:</t>
        </r>
        <r>
          <rPr>
            <sz val="8"/>
            <rFont val="Tahoma"/>
            <family val="0"/>
          </rPr>
          <t xml:space="preserve">
it is assumed that each Supplier has the same share of NHH as of the total.  Can change this formula to change this assumption</t>
        </r>
      </text>
    </comment>
  </commentList>
</comments>
</file>

<file path=xl/sharedStrings.xml><?xml version="1.0" encoding="utf-8"?>
<sst xmlns="http://schemas.openxmlformats.org/spreadsheetml/2006/main" count="241" uniqueCount="78">
  <si>
    <t>Set values</t>
  </si>
  <si>
    <t>GSP Take</t>
  </si>
  <si>
    <t>GSP Cap</t>
  </si>
  <si>
    <t>GSPNHH energy</t>
  </si>
  <si>
    <t xml:space="preserve">Target %AAs at RF </t>
  </si>
  <si>
    <t>Charge per %/MWh difference from target</t>
  </si>
  <si>
    <t>90% of SC total</t>
  </si>
  <si>
    <t>90% of total charges</t>
  </si>
  <si>
    <t>Table 2</t>
  </si>
  <si>
    <t>Supplier % share</t>
  </si>
  <si>
    <t>Supplier Take</t>
  </si>
  <si>
    <t>Supplier Cap</t>
  </si>
  <si>
    <t>Supplier NHH energy</t>
  </si>
  <si>
    <t xml:space="preserve">Supplier share of 90% </t>
  </si>
  <si>
    <t>Total Charges</t>
  </si>
  <si>
    <t>90% charges</t>
  </si>
  <si>
    <t>own receipts</t>
  </si>
  <si>
    <t>Net Liability</t>
  </si>
  <si>
    <t>Cap Breach</t>
  </si>
  <si>
    <t>SC adjusted for cap breach</t>
  </si>
  <si>
    <t>NET</t>
  </si>
  <si>
    <t>S1</t>
  </si>
  <si>
    <t>S2</t>
  </si>
  <si>
    <t>S3</t>
  </si>
  <si>
    <t>S4</t>
  </si>
  <si>
    <t>S5</t>
  </si>
  <si>
    <t>Total</t>
  </si>
  <si>
    <t>Table 3</t>
  </si>
  <si>
    <t>% AAs at RF</t>
  </si>
  <si>
    <t>% diff from target</t>
  </si>
  <si>
    <t>MWhs settled on actuals</t>
  </si>
  <si>
    <t>MWhs difference from average settled on actuals</t>
  </si>
  <si>
    <t>money back</t>
  </si>
  <si>
    <t>redistr to over avg perf avg worked out using mkt share</t>
  </si>
  <si>
    <t>Serial SP08b R1 Charge</t>
  </si>
  <si>
    <t>Serial SP08a RF Charge</t>
  </si>
  <si>
    <t>Target %actualss at R1</t>
  </si>
  <si>
    <t>Target %actuals at RF</t>
  </si>
  <si>
    <t>Serial SP08c RF Charge</t>
  </si>
  <si>
    <t>Serial SP08a MWh charged for</t>
  </si>
  <si>
    <t>Serial SP08b % actuals at R1</t>
  </si>
  <si>
    <t>Serial SP08b MWh Charged For</t>
  </si>
  <si>
    <t>Serial SP08c MWh  charged for</t>
  </si>
  <si>
    <t>SP01 and SP02 no of days late</t>
  </si>
  <si>
    <t>Sp01 and Sp02 charge per day late</t>
  </si>
  <si>
    <t>SP04 charge</t>
  </si>
  <si>
    <t>SP08a</t>
  </si>
  <si>
    <t>SP08b</t>
  </si>
  <si>
    <t>SP08c</t>
  </si>
  <si>
    <t xml:space="preserve">SP04 </t>
  </si>
  <si>
    <t xml:space="preserve">Sp01 and Sp02 </t>
  </si>
  <si>
    <t>charge  late</t>
  </si>
  <si>
    <t>Supplier NHH Energy = HH Supplier Energy</t>
  </si>
  <si>
    <t>SP04 charge per day after 3 months not installed</t>
  </si>
  <si>
    <t>SP04 days late should have HH that have NHH</t>
  </si>
  <si>
    <t>Receipts from 90% SC adj for cap breach</t>
  </si>
  <si>
    <t>Performance Table (average over 1 month) and charges</t>
  </si>
  <si>
    <t>The red values in the table  below can be changed to consider different performance levels reached by the different Suppliers</t>
  </si>
  <si>
    <t>The red values in the table 2 below can be changed to consider different Supplier shares</t>
  </si>
  <si>
    <t>Redistribution on SP08a without Cap</t>
  </si>
  <si>
    <t>Should the Supplier receive money on redistribution or not?</t>
  </si>
  <si>
    <t>Table1</t>
  </si>
  <si>
    <t>Table 4</t>
  </si>
  <si>
    <t>In Table 4 the GSP cap can be altered</t>
  </si>
  <si>
    <t>Calculations relating to redistribution and capping</t>
  </si>
  <si>
    <t>net liability SCs adjusted for cap breach</t>
  </si>
  <si>
    <t>Average % settled on actuals</t>
  </si>
  <si>
    <t>Credit Assessment Price</t>
  </si>
  <si>
    <t>percentage of Supplier Take to be used in cap calculation</t>
  </si>
  <si>
    <t>Table 1</t>
  </si>
  <si>
    <t>Receipts from 90%</t>
  </si>
  <si>
    <t>Calculations only used for SP08a RF charge - old method</t>
  </si>
  <si>
    <t>charge per day late</t>
  </si>
  <si>
    <t>SP04 charge per day</t>
  </si>
  <si>
    <t>Note there is no table 3 in this spreadsheet</t>
  </si>
  <si>
    <t>The red values in the table 1 below can be changed to consider different performance levels reached by the different Suppliers</t>
  </si>
  <si>
    <t>Target %actuals at R1</t>
  </si>
  <si>
    <t>GSP Group Take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</si>
</sst>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_-* #,##0_-;\-* #,##0_-;_-* &quot;-&quot;??_-;_-@_-"/>
    <numFmt numFmtId="168" formatCode="0.0%"/>
    <numFmt numFmtId="169" formatCode="#,##0.0"/>
    <numFmt numFmtId="170" formatCode="_-* #,##0.0_-;\-* #,##0.0_-;_-* &quot;-&quot;??_-;_-@_-"/>
    <numFmt numFmtId="171" formatCode="&quot;£&quot;#,##0.000;[Red]\-&quot;£&quot;#,##0.000"/>
    <numFmt numFmtId="172" formatCode="&quot;£&quot;#,##0.0000;[Red]\-&quot;£&quot;#,##0.0000"/>
    <numFmt numFmtId="173" formatCode="&quot;£&quot;#,##0.00000;[Red]\-&quot;£&quot;#,##0.00000"/>
    <numFmt numFmtId="174" formatCode="&quot;£&quot;#,##0.000000;[Red]\-&quot;£&quot;#,##0.000000"/>
    <numFmt numFmtId="175" formatCode="&quot;£&quot;#,##0.0;[Red]\-&quot;£&quot;#,##0.0"/>
    <numFmt numFmtId="176" formatCode="#,##0_ ;[Red]\-#,##0\ 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/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wrapText="1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15" applyNumberFormat="1" applyAlignment="1">
      <alignment/>
    </xf>
    <xf numFmtId="167" fontId="0" fillId="0" borderId="0" xfId="15" applyNumberFormat="1" applyAlignment="1">
      <alignment/>
    </xf>
    <xf numFmtId="1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167" fontId="0" fillId="0" borderId="2" xfId="15" applyNumberFormat="1" applyBorder="1" applyAlignment="1">
      <alignment/>
    </xf>
    <xf numFmtId="6" fontId="0" fillId="0" borderId="2" xfId="0" applyNumberFormat="1" applyBorder="1" applyAlignment="1">
      <alignment/>
    </xf>
    <xf numFmtId="167" fontId="3" fillId="0" borderId="2" xfId="15" applyNumberFormat="1" applyFont="1" applyBorder="1" applyAlignment="1">
      <alignment/>
    </xf>
    <xf numFmtId="9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166" fontId="0" fillId="0" borderId="2" xfId="15" applyNumberFormat="1" applyFill="1" applyBorder="1" applyAlignment="1">
      <alignment/>
    </xf>
    <xf numFmtId="166" fontId="1" fillId="0" borderId="2" xfId="0" applyNumberFormat="1" applyFont="1" applyBorder="1" applyAlignment="1">
      <alignment/>
    </xf>
    <xf numFmtId="167" fontId="0" fillId="0" borderId="0" xfId="15" applyNumberFormat="1" applyBorder="1" applyAlignment="1">
      <alignment/>
    </xf>
    <xf numFmtId="6" fontId="0" fillId="0" borderId="0" xfId="0" applyNumberFormat="1" applyBorder="1" applyAlignment="1">
      <alignment/>
    </xf>
    <xf numFmtId="167" fontId="3" fillId="0" borderId="0" xfId="15" applyNumberFormat="1" applyFont="1" applyBorder="1" applyAlignment="1">
      <alignment/>
    </xf>
    <xf numFmtId="9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1" fillId="2" borderId="0" xfId="0" applyFont="1" applyFill="1" applyAlignment="1">
      <alignment/>
    </xf>
    <xf numFmtId="9" fontId="1" fillId="0" borderId="3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15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7" fontId="0" fillId="0" borderId="6" xfId="0" applyNumberFormat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wrapText="1"/>
    </xf>
    <xf numFmtId="167" fontId="0" fillId="0" borderId="0" xfId="0" applyNumberFormat="1" applyAlignment="1">
      <alignment/>
    </xf>
    <xf numFmtId="0" fontId="2" fillId="0" borderId="8" xfId="0" applyFont="1" applyBorder="1" applyAlignment="1">
      <alignment/>
    </xf>
    <xf numFmtId="1" fontId="0" fillId="0" borderId="2" xfId="0" applyNumberFormat="1" applyBorder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0" xfId="0" applyNumberFormat="1" applyAlignment="1">
      <alignment/>
    </xf>
    <xf numFmtId="0" fontId="2" fillId="0" borderId="3" xfId="0" applyFont="1" applyBorder="1" applyAlignment="1">
      <alignment/>
    </xf>
    <xf numFmtId="1" fontId="0" fillId="0" borderId="0" xfId="0" applyNumberFormat="1" applyBorder="1" applyAlignment="1">
      <alignment/>
    </xf>
    <xf numFmtId="166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166" fontId="1" fillId="0" borderId="7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168" fontId="2" fillId="0" borderId="8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0" fontId="0" fillId="2" borderId="0" xfId="0" applyFill="1" applyBorder="1" applyAlignment="1">
      <alignment/>
    </xf>
    <xf numFmtId="164" fontId="0" fillId="0" borderId="2" xfId="0" applyNumberFormat="1" applyBorder="1" applyAlignment="1">
      <alignment/>
    </xf>
    <xf numFmtId="0" fontId="0" fillId="2" borderId="15" xfId="0" applyFill="1" applyBorder="1" applyAlignment="1">
      <alignment wrapText="1"/>
    </xf>
    <xf numFmtId="0" fontId="0" fillId="2" borderId="15" xfId="0" applyFill="1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7" fontId="0" fillId="0" borderId="0" xfId="15" applyNumberFormat="1" applyAlignment="1">
      <alignment/>
    </xf>
    <xf numFmtId="3" fontId="2" fillId="0" borderId="17" xfId="0" applyNumberFormat="1" applyFont="1" applyBorder="1" applyAlignment="1">
      <alignment/>
    </xf>
    <xf numFmtId="9" fontId="0" fillId="0" borderId="5" xfId="21" applyBorder="1" applyAlignment="1">
      <alignment/>
    </xf>
    <xf numFmtId="9" fontId="0" fillId="0" borderId="5" xfId="21" applyBorder="1" applyAlignment="1">
      <alignment/>
    </xf>
    <xf numFmtId="164" fontId="2" fillId="0" borderId="17" xfId="0" applyNumberFormat="1" applyFont="1" applyBorder="1" applyAlignment="1">
      <alignment/>
    </xf>
    <xf numFmtId="0" fontId="0" fillId="2" borderId="1" xfId="0" applyFill="1" applyBorder="1" applyAlignment="1">
      <alignment/>
    </xf>
    <xf numFmtId="6" fontId="0" fillId="0" borderId="0" xfId="0" applyNumberFormat="1" applyAlignment="1">
      <alignment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2" borderId="6" xfId="0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0" fontId="0" fillId="2" borderId="25" xfId="0" applyFill="1" applyBorder="1" applyAlignment="1">
      <alignment/>
    </xf>
    <xf numFmtId="164" fontId="0" fillId="0" borderId="9" xfId="0" applyNumberFormat="1" applyBorder="1" applyAlignment="1">
      <alignment/>
    </xf>
    <xf numFmtId="0" fontId="1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9" fontId="2" fillId="0" borderId="8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165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2" borderId="28" xfId="0" applyFill="1" applyBorder="1" applyAlignment="1">
      <alignment/>
    </xf>
    <xf numFmtId="0" fontId="1" fillId="2" borderId="28" xfId="0" applyFont="1" applyFill="1" applyBorder="1" applyAlignment="1">
      <alignment/>
    </xf>
    <xf numFmtId="167" fontId="0" fillId="0" borderId="8" xfId="0" applyNumberFormat="1" applyBorder="1" applyAlignment="1">
      <alignment/>
    </xf>
    <xf numFmtId="167" fontId="0" fillId="0" borderId="2" xfId="0" applyNumberFormat="1" applyBorder="1" applyAlignment="1">
      <alignment/>
    </xf>
    <xf numFmtId="166" fontId="0" fillId="0" borderId="29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1" fillId="0" borderId="3" xfId="15" applyNumberFormat="1" applyFont="1" applyBorder="1" applyAlignment="1">
      <alignment/>
    </xf>
    <xf numFmtId="0" fontId="0" fillId="2" borderId="16" xfId="0" applyFill="1" applyBorder="1" applyAlignment="1">
      <alignment wrapText="1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zoomScale="70" zoomScaleNormal="70" workbookViewId="0" topLeftCell="B1">
      <selection activeCell="M33" sqref="M33"/>
    </sheetView>
  </sheetViews>
  <sheetFormatPr defaultColWidth="9.140625" defaultRowHeight="12.75"/>
  <cols>
    <col min="1" max="1" width="14.421875" style="0" customWidth="1"/>
    <col min="3" max="3" width="12.28125" style="0" bestFit="1" customWidth="1"/>
    <col min="4" max="4" width="13.140625" style="0" bestFit="1" customWidth="1"/>
    <col min="5" max="5" width="15.140625" style="0" customWidth="1"/>
    <col min="6" max="6" width="14.140625" style="0" customWidth="1"/>
    <col min="7" max="7" width="19.140625" style="0" customWidth="1"/>
    <col min="8" max="8" width="15.00390625" style="0" customWidth="1"/>
    <col min="9" max="9" width="14.57421875" style="0" bestFit="1" customWidth="1"/>
    <col min="10" max="10" width="13.28125" style="0" customWidth="1"/>
    <col min="11" max="11" width="10.57421875" style="0" bestFit="1" customWidth="1"/>
    <col min="12" max="12" width="14.8515625" style="0" customWidth="1"/>
    <col min="13" max="13" width="13.57421875" style="0" customWidth="1"/>
    <col min="14" max="14" width="22.57421875" style="0" customWidth="1"/>
    <col min="15" max="15" width="13.8515625" style="0" customWidth="1"/>
    <col min="16" max="16" width="14.00390625" style="0" customWidth="1"/>
    <col min="17" max="17" width="20.421875" style="0" customWidth="1"/>
    <col min="18" max="18" width="12.8515625" style="0" customWidth="1"/>
    <col min="19" max="19" width="16.7109375" style="0" customWidth="1"/>
  </cols>
  <sheetData>
    <row r="2" ht="12.75">
      <c r="A2" t="s">
        <v>75</v>
      </c>
    </row>
    <row r="3" ht="12.75">
      <c r="A3" t="s">
        <v>58</v>
      </c>
    </row>
    <row r="4" ht="12.75">
      <c r="A4" t="s">
        <v>74</v>
      </c>
    </row>
    <row r="6" spans="1:2" ht="12.75">
      <c r="A6" t="s">
        <v>69</v>
      </c>
      <c r="B6" s="1" t="s">
        <v>56</v>
      </c>
    </row>
    <row r="7" spans="1:19" ht="51.75" thickBot="1">
      <c r="A7" s="39" t="s">
        <v>52</v>
      </c>
      <c r="C7" s="11" t="s">
        <v>28</v>
      </c>
      <c r="D7" s="11" t="s">
        <v>29</v>
      </c>
      <c r="E7" s="11" t="s">
        <v>39</v>
      </c>
      <c r="F7" s="2" t="s">
        <v>35</v>
      </c>
      <c r="G7" s="40" t="s">
        <v>40</v>
      </c>
      <c r="H7" s="11" t="s">
        <v>29</v>
      </c>
      <c r="I7" s="40" t="s">
        <v>41</v>
      </c>
      <c r="J7" s="40" t="s">
        <v>34</v>
      </c>
      <c r="K7" s="40" t="s">
        <v>38</v>
      </c>
      <c r="L7" s="11" t="s">
        <v>29</v>
      </c>
      <c r="M7" s="40" t="s">
        <v>42</v>
      </c>
      <c r="N7" s="40" t="s">
        <v>38</v>
      </c>
      <c r="O7" s="40" t="s">
        <v>43</v>
      </c>
      <c r="P7" s="40" t="s">
        <v>72</v>
      </c>
      <c r="Q7" s="40" t="s">
        <v>54</v>
      </c>
      <c r="R7" s="40" t="s">
        <v>45</v>
      </c>
      <c r="S7" s="40" t="s">
        <v>14</v>
      </c>
    </row>
    <row r="8" spans="1:19" ht="12.75">
      <c r="A8" s="42">
        <f>F18</f>
        <v>500000</v>
      </c>
      <c r="B8" s="12" t="s">
        <v>21</v>
      </c>
      <c r="C8" s="43">
        <v>97</v>
      </c>
      <c r="D8" s="44">
        <f>$F$32-C8</f>
        <v>0</v>
      </c>
      <c r="E8" s="13">
        <f>IF((D8/100*F18)&gt;0,(D8/100*F18),0)</f>
        <v>0</v>
      </c>
      <c r="F8" s="45">
        <f>E8*$G$32</f>
        <v>0</v>
      </c>
      <c r="G8" s="56">
        <v>99</v>
      </c>
      <c r="H8" s="19">
        <f>$H$32-G8</f>
        <v>0</v>
      </c>
      <c r="I8" s="13">
        <f>IF((H8/100*A8)&gt;0,(H8/100*A8),0)</f>
        <v>0</v>
      </c>
      <c r="J8" s="17">
        <f>I8*$I$32</f>
        <v>0</v>
      </c>
      <c r="K8" s="56">
        <v>99</v>
      </c>
      <c r="L8" s="19">
        <f>$J$32-K8</f>
        <v>0</v>
      </c>
      <c r="M8" s="13">
        <f>IF((L8/100*A8)&gt;0,(L8/100*A8),0)</f>
        <v>0</v>
      </c>
      <c r="N8" s="17">
        <f>M8*$K$32</f>
        <v>0</v>
      </c>
      <c r="O8" s="56">
        <v>0</v>
      </c>
      <c r="P8" s="17">
        <f>O8*$L$32</f>
        <v>0</v>
      </c>
      <c r="Q8" s="19">
        <v>0</v>
      </c>
      <c r="R8" s="17">
        <f>Q8*$M$32</f>
        <v>0</v>
      </c>
      <c r="S8" s="17">
        <f>SUM(R8,P8,N8,J8,F8)</f>
        <v>0</v>
      </c>
    </row>
    <row r="9" spans="1:19" ht="12.75">
      <c r="A9" s="42">
        <f>F19</f>
        <v>300000</v>
      </c>
      <c r="B9" s="12" t="s">
        <v>22</v>
      </c>
      <c r="C9" s="49">
        <v>97</v>
      </c>
      <c r="D9" s="50">
        <f>$F$32-C9</f>
        <v>0</v>
      </c>
      <c r="E9" s="22">
        <f>IF((D9/100*F19)&gt;0,(D9/100*F19),0)</f>
        <v>0</v>
      </c>
      <c r="F9" s="45">
        <f>E9*$G$32</f>
        <v>0</v>
      </c>
      <c r="G9" s="57">
        <v>99</v>
      </c>
      <c r="H9" s="28">
        <f>$H$32-G9</f>
        <v>0</v>
      </c>
      <c r="I9" s="22">
        <f>IF((H9/100*A9)&gt;0,(H9/100*A9),0)</f>
        <v>0</v>
      </c>
      <c r="J9" s="26">
        <f>I9*$I$32</f>
        <v>0</v>
      </c>
      <c r="K9" s="57">
        <v>99</v>
      </c>
      <c r="L9" s="28">
        <f>$J$32-K9</f>
        <v>0</v>
      </c>
      <c r="M9" s="22">
        <f>IF((L9/100*A9)&gt;0,(L9/100*A9),0)</f>
        <v>0</v>
      </c>
      <c r="N9" s="26">
        <f>M9*$K$32</f>
        <v>0</v>
      </c>
      <c r="O9" s="57">
        <v>0</v>
      </c>
      <c r="P9" s="26">
        <f>O9*$L$32</f>
        <v>0</v>
      </c>
      <c r="Q9" s="28">
        <v>0</v>
      </c>
      <c r="R9" s="26">
        <f>Q9*$M$32</f>
        <v>0</v>
      </c>
      <c r="S9" s="26">
        <f>SUM(R9,P9,N9,J9,F9)</f>
        <v>0</v>
      </c>
    </row>
    <row r="10" spans="1:19" ht="12.75">
      <c r="A10" s="42">
        <f>F20</f>
        <v>80000</v>
      </c>
      <c r="B10" s="12" t="s">
        <v>23</v>
      </c>
      <c r="C10" s="49">
        <v>97</v>
      </c>
      <c r="D10" s="50">
        <f>$F$32-C10</f>
        <v>0</v>
      </c>
      <c r="E10" s="22">
        <f>IF((D10/100*F20)&gt;0,(D10/100*F20),0)</f>
        <v>0</v>
      </c>
      <c r="F10" s="45">
        <f>E10*$G$32</f>
        <v>0</v>
      </c>
      <c r="G10" s="57">
        <v>99</v>
      </c>
      <c r="H10" s="28">
        <f>$H$32-G10</f>
        <v>0</v>
      </c>
      <c r="I10" s="22">
        <f>IF((H10/100*A10)&gt;0,(H10/100*A10),0)</f>
        <v>0</v>
      </c>
      <c r="J10" s="26">
        <f>I10*$I$32</f>
        <v>0</v>
      </c>
      <c r="K10" s="57">
        <v>99</v>
      </c>
      <c r="L10" s="28">
        <f>$J$32-K10</f>
        <v>0</v>
      </c>
      <c r="M10" s="22">
        <f>IF((L10/100*A10)&gt;0,(L10/100*A10),0)</f>
        <v>0</v>
      </c>
      <c r="N10" s="26">
        <f>M10*$K$32</f>
        <v>0</v>
      </c>
      <c r="O10" s="57">
        <v>0</v>
      </c>
      <c r="P10" s="26">
        <f>O10*$L$32</f>
        <v>0</v>
      </c>
      <c r="Q10" s="28">
        <v>0</v>
      </c>
      <c r="R10" s="26">
        <f>Q10*$M$32</f>
        <v>0</v>
      </c>
      <c r="S10" s="26">
        <f>SUM(R10,P10,N10,J10,F10)</f>
        <v>0</v>
      </c>
    </row>
    <row r="11" spans="1:19" ht="12.75">
      <c r="A11" s="42">
        <f>F21</f>
        <v>70000</v>
      </c>
      <c r="B11" s="12" t="s">
        <v>24</v>
      </c>
      <c r="C11" s="49">
        <v>97</v>
      </c>
      <c r="D11" s="50">
        <f>$F$32-C11</f>
        <v>0</v>
      </c>
      <c r="E11" s="22">
        <f>IF((D11/100*F21)&gt;0,(D11/100*F21),0)</f>
        <v>0</v>
      </c>
      <c r="F11" s="45">
        <f>E11*$G$32</f>
        <v>0</v>
      </c>
      <c r="G11" s="57">
        <v>99</v>
      </c>
      <c r="H11" s="28">
        <f>$H$32-G11</f>
        <v>0</v>
      </c>
      <c r="I11" s="22">
        <f>IF((H11/100*A11)&gt;0,(H11/100*A11),0)</f>
        <v>0</v>
      </c>
      <c r="J11" s="26">
        <f>I11*$I$32</f>
        <v>0</v>
      </c>
      <c r="K11" s="57">
        <v>99</v>
      </c>
      <c r="L11" s="28">
        <f>$J$32-K11</f>
        <v>0</v>
      </c>
      <c r="M11" s="22">
        <f>IF((L11/100*A11)&gt;0,(L11/100*A11),0)</f>
        <v>0</v>
      </c>
      <c r="N11" s="26">
        <f>M11*$K$32</f>
        <v>0</v>
      </c>
      <c r="O11" s="57">
        <v>0</v>
      </c>
      <c r="P11" s="26">
        <f>O11*$L$32</f>
        <v>0</v>
      </c>
      <c r="Q11" s="28">
        <v>0</v>
      </c>
      <c r="R11" s="26">
        <f>Q11*$M$32</f>
        <v>0</v>
      </c>
      <c r="S11" s="26">
        <f>SUM(R11,P11,N11,J11,F11)</f>
        <v>0</v>
      </c>
    </row>
    <row r="12" spans="1:19" ht="12.75">
      <c r="A12" s="42">
        <f>F22</f>
        <v>50000</v>
      </c>
      <c r="B12" s="12" t="s">
        <v>25</v>
      </c>
      <c r="C12" s="49">
        <v>97</v>
      </c>
      <c r="D12" s="50">
        <f>$F$32-C12</f>
        <v>0</v>
      </c>
      <c r="E12" s="22">
        <f>IF((D12/100*F22)&gt;0,(D12/100*F22),0)</f>
        <v>0</v>
      </c>
      <c r="F12" s="45">
        <f>E12*$G$32</f>
        <v>0</v>
      </c>
      <c r="G12" s="57">
        <v>99</v>
      </c>
      <c r="H12" s="28">
        <f>$H$32-G12</f>
        <v>0</v>
      </c>
      <c r="I12" s="22">
        <f>IF((H12/100*A12)&gt;0,(H12/100*A12),0)</f>
        <v>0</v>
      </c>
      <c r="J12" s="26">
        <f>I12*$I$32</f>
        <v>0</v>
      </c>
      <c r="K12" s="57">
        <v>99</v>
      </c>
      <c r="L12" s="28">
        <f>$J$32-K12</f>
        <v>0</v>
      </c>
      <c r="M12" s="22">
        <f>IF((L12/100*A12)&gt;0,(L12/100*A12),0)</f>
        <v>0</v>
      </c>
      <c r="N12" s="26">
        <f>M12*$K$32</f>
        <v>0</v>
      </c>
      <c r="O12" s="57">
        <v>0</v>
      </c>
      <c r="P12" s="26">
        <f>O12*$L$32</f>
        <v>0</v>
      </c>
      <c r="Q12" s="28">
        <v>0</v>
      </c>
      <c r="R12" s="26">
        <f>Q12*$M$32</f>
        <v>0</v>
      </c>
      <c r="S12" s="26">
        <f>SUM(R12,P12,N12,J12,F12)</f>
        <v>0</v>
      </c>
    </row>
    <row r="13" spans="6:19" ht="12.75">
      <c r="F13" s="51">
        <f>SUM(F8:F12)</f>
        <v>0</v>
      </c>
      <c r="O13" s="28"/>
      <c r="P13" s="28"/>
      <c r="Q13" s="28"/>
      <c r="R13" s="28"/>
      <c r="S13" s="26">
        <f>SUM(S8:S12)</f>
        <v>0</v>
      </c>
    </row>
    <row r="15" spans="3:5" ht="12.75">
      <c r="C15" s="6"/>
      <c r="D15" s="5"/>
      <c r="E15" s="5"/>
    </row>
    <row r="16" spans="1:2" ht="13.5" thickBot="1">
      <c r="A16" t="s">
        <v>8</v>
      </c>
      <c r="B16" s="1" t="s">
        <v>71</v>
      </c>
    </row>
    <row r="17" spans="3:17" ht="39" thickBot="1">
      <c r="C17" s="11" t="s">
        <v>9</v>
      </c>
      <c r="D17" s="11" t="s">
        <v>10</v>
      </c>
      <c r="E17" s="11" t="s">
        <v>11</v>
      </c>
      <c r="F17" s="11" t="s">
        <v>12</v>
      </c>
      <c r="G17" s="11" t="s">
        <v>13</v>
      </c>
      <c r="H17" s="11" t="s">
        <v>14</v>
      </c>
      <c r="I17" s="11" t="s">
        <v>15</v>
      </c>
      <c r="J17" s="11" t="s">
        <v>16</v>
      </c>
      <c r="K17" s="11" t="s">
        <v>17</v>
      </c>
      <c r="L17" s="11" t="s">
        <v>18</v>
      </c>
      <c r="M17" s="11" t="s">
        <v>19</v>
      </c>
      <c r="N17" s="11" t="s">
        <v>70</v>
      </c>
      <c r="O17" s="11" t="s">
        <v>20</v>
      </c>
      <c r="P17" s="93" t="s">
        <v>6</v>
      </c>
      <c r="Q17" s="90" t="s">
        <v>7</v>
      </c>
    </row>
    <row r="18" spans="2:17" ht="13.5" thickBot="1">
      <c r="B18" s="12" t="s">
        <v>21</v>
      </c>
      <c r="C18" s="98">
        <v>0.5</v>
      </c>
      <c r="D18" s="13">
        <f>C18*$C$32</f>
        <v>1000000</v>
      </c>
      <c r="E18" s="14">
        <f>D18/$C$32*$D$32</f>
        <v>60000</v>
      </c>
      <c r="F18" s="15">
        <f>C18*$E$32</f>
        <v>500000</v>
      </c>
      <c r="G18" s="16">
        <f>F18/$E$32</f>
        <v>0.5</v>
      </c>
      <c r="H18" s="17">
        <f>S8</f>
        <v>0</v>
      </c>
      <c r="I18" s="18">
        <f aca="true" t="shared" si="0" ref="I18:I23">H18*0.9</f>
        <v>0</v>
      </c>
      <c r="J18" s="17">
        <f>I18*G18</f>
        <v>0</v>
      </c>
      <c r="K18" s="17">
        <f>H18-J18</f>
        <v>0</v>
      </c>
      <c r="L18" s="19" t="str">
        <f>IF(K18&gt;E18,"yes","no")</f>
        <v>no</v>
      </c>
      <c r="M18" s="20">
        <f>IF(L18="no",K18,H18*E18/K18)</f>
        <v>0</v>
      </c>
      <c r="N18" s="17">
        <f>G18*$P$18</f>
        <v>0</v>
      </c>
      <c r="O18" s="21">
        <f>N18-M18</f>
        <v>0</v>
      </c>
      <c r="P18" s="94">
        <f>0.9*$M$23</f>
        <v>0</v>
      </c>
      <c r="Q18" s="100">
        <f>0.9*H23</f>
        <v>0</v>
      </c>
    </row>
    <row r="19" spans="2:15" ht="12.75">
      <c r="B19" s="12" t="s">
        <v>22</v>
      </c>
      <c r="C19" s="99">
        <v>0.3</v>
      </c>
      <c r="D19" s="22">
        <f>C19*$C$32</f>
        <v>600000</v>
      </c>
      <c r="E19" s="23">
        <f>D19/$C$32*$D$32</f>
        <v>36000</v>
      </c>
      <c r="F19" s="24">
        <f>C19*$E$32</f>
        <v>300000</v>
      </c>
      <c r="G19" s="25">
        <f>F19/$E$32</f>
        <v>0.3</v>
      </c>
      <c r="H19" s="26">
        <f>S9</f>
        <v>0</v>
      </c>
      <c r="I19" s="27">
        <f t="shared" si="0"/>
        <v>0</v>
      </c>
      <c r="J19" s="26">
        <f>I19*G19</f>
        <v>0</v>
      </c>
      <c r="K19" s="26">
        <f>H19-J19</f>
        <v>0</v>
      </c>
      <c r="L19" s="28" t="str">
        <f>IF(K19&gt;E19,"yes","no")</f>
        <v>no</v>
      </c>
      <c r="M19" s="29">
        <f>IF(L19="no",K19,H19*E19/K19)</f>
        <v>0</v>
      </c>
      <c r="N19" s="26">
        <f>G19*$P$18</f>
        <v>0</v>
      </c>
      <c r="O19" s="30">
        <f>N19-M19</f>
        <v>0</v>
      </c>
    </row>
    <row r="20" spans="2:15" ht="12.75">
      <c r="B20" s="12" t="s">
        <v>23</v>
      </c>
      <c r="C20" s="99">
        <v>0.08</v>
      </c>
      <c r="D20" s="22">
        <f>C20*$C$32</f>
        <v>160000</v>
      </c>
      <c r="E20" s="23">
        <f>D20/$C$32*$D$32</f>
        <v>9600</v>
      </c>
      <c r="F20" s="24">
        <f>C20*$E$32</f>
        <v>80000</v>
      </c>
      <c r="G20" s="25">
        <f>F20/$E$32</f>
        <v>0.08</v>
      </c>
      <c r="H20" s="26">
        <f>S10</f>
        <v>0</v>
      </c>
      <c r="I20" s="27">
        <f t="shared" si="0"/>
        <v>0</v>
      </c>
      <c r="J20" s="26">
        <f>I20*G20</f>
        <v>0</v>
      </c>
      <c r="K20" s="26">
        <f>H20-J20</f>
        <v>0</v>
      </c>
      <c r="L20" s="28" t="str">
        <f>IF(K20&gt;E20,"yes","no")</f>
        <v>no</v>
      </c>
      <c r="M20" s="29">
        <f>IF(L20="no",K20,H20*E20/K20)</f>
        <v>0</v>
      </c>
      <c r="N20" s="26">
        <f>G20*$P$18</f>
        <v>0</v>
      </c>
      <c r="O20" s="30">
        <f>N20-M20</f>
        <v>0</v>
      </c>
    </row>
    <row r="21" spans="2:15" ht="12.75">
      <c r="B21" s="12" t="s">
        <v>24</v>
      </c>
      <c r="C21" s="99">
        <v>0.07</v>
      </c>
      <c r="D21" s="22">
        <f>C21*$C$32</f>
        <v>140000</v>
      </c>
      <c r="E21" s="23">
        <f>D21/$C$32*$D$32</f>
        <v>8400</v>
      </c>
      <c r="F21" s="24">
        <f>C21*$E$32</f>
        <v>70000</v>
      </c>
      <c r="G21" s="25">
        <f>F21/$E$32</f>
        <v>0.07</v>
      </c>
      <c r="H21" s="26">
        <f>S11</f>
        <v>0</v>
      </c>
      <c r="I21" s="27">
        <f t="shared" si="0"/>
        <v>0</v>
      </c>
      <c r="J21" s="26">
        <f>I21*G21</f>
        <v>0</v>
      </c>
      <c r="K21" s="26">
        <f>H21-J21</f>
        <v>0</v>
      </c>
      <c r="L21" s="28" t="str">
        <f>IF(K21&gt;E21,"yes","no")</f>
        <v>no</v>
      </c>
      <c r="M21" s="29">
        <f>IF(L21="no",K21,H21*E21/K21)</f>
        <v>0</v>
      </c>
      <c r="N21" s="26">
        <f>G21*$P$18</f>
        <v>0</v>
      </c>
      <c r="O21" s="30">
        <f>N21-M21</f>
        <v>0</v>
      </c>
    </row>
    <row r="22" spans="2:15" ht="12.75">
      <c r="B22" s="12" t="s">
        <v>25</v>
      </c>
      <c r="C22" s="99">
        <v>0.05</v>
      </c>
      <c r="D22" s="22">
        <f>C22*$C$32</f>
        <v>100000</v>
      </c>
      <c r="E22" s="23">
        <f>D22/$C$32*$D$32</f>
        <v>6000</v>
      </c>
      <c r="F22" s="24">
        <f>C22*$E$32</f>
        <v>50000</v>
      </c>
      <c r="G22" s="25">
        <f>F22/$E$32</f>
        <v>0.05</v>
      </c>
      <c r="H22" s="26">
        <f>S12</f>
        <v>0</v>
      </c>
      <c r="I22" s="27">
        <f t="shared" si="0"/>
        <v>0</v>
      </c>
      <c r="J22" s="26">
        <f>I22*G22</f>
        <v>0</v>
      </c>
      <c r="K22" s="26">
        <f>H22-J22</f>
        <v>0</v>
      </c>
      <c r="L22" s="28" t="str">
        <f>IF(K22&gt;E22,"yes","no")</f>
        <v>no</v>
      </c>
      <c r="M22" s="29">
        <f>IF(L22="no",K22,H22*E22/K22)</f>
        <v>0</v>
      </c>
      <c r="N22" s="26">
        <f>G22*$P$18</f>
        <v>0</v>
      </c>
      <c r="O22" s="30">
        <f>N22-M22</f>
        <v>0</v>
      </c>
    </row>
    <row r="23" spans="2:15" ht="12.75">
      <c r="B23" s="31" t="s">
        <v>26</v>
      </c>
      <c r="C23" s="32">
        <f>SUM(C18:C22)</f>
        <v>1</v>
      </c>
      <c r="D23" s="33">
        <f>SUM(D18:D22)</f>
        <v>2000000</v>
      </c>
      <c r="E23" s="34"/>
      <c r="F23" s="33">
        <f>SUM(F18:F22)</f>
        <v>1000000</v>
      </c>
      <c r="G23" s="34"/>
      <c r="H23" s="30">
        <f>SUM(H18:H22)</f>
        <v>0</v>
      </c>
      <c r="I23" s="35">
        <f t="shared" si="0"/>
        <v>0</v>
      </c>
      <c r="J23" s="28"/>
      <c r="K23" s="28"/>
      <c r="L23" s="28"/>
      <c r="M23" s="30">
        <f>SUM(M18:M22)</f>
        <v>0</v>
      </c>
      <c r="N23" s="28"/>
      <c r="O23" s="28"/>
    </row>
    <row r="24" ht="12.75">
      <c r="O24" s="4"/>
    </row>
    <row r="26" ht="12.75">
      <c r="M26" s="86"/>
    </row>
    <row r="27" spans="1:7" ht="12.75">
      <c r="A27" s="55"/>
      <c r="B27" s="55"/>
      <c r="C27" s="55"/>
      <c r="D27" s="55"/>
      <c r="E27" s="55"/>
      <c r="F27" s="55"/>
      <c r="G27" s="55"/>
    </row>
    <row r="28" spans="1:7" ht="12.75">
      <c r="A28" s="55"/>
      <c r="B28" s="95"/>
      <c r="C28" s="55"/>
      <c r="D28" s="55"/>
      <c r="E28" s="55"/>
      <c r="F28" s="55"/>
      <c r="G28" s="55"/>
    </row>
    <row r="30" spans="1:14" ht="12.75">
      <c r="A30" t="s">
        <v>62</v>
      </c>
      <c r="B30" s="1" t="s">
        <v>0</v>
      </c>
      <c r="F30" s="110" t="s">
        <v>46</v>
      </c>
      <c r="G30" s="111"/>
      <c r="H30" s="110" t="s">
        <v>47</v>
      </c>
      <c r="I30" s="111"/>
      <c r="J30" s="110" t="s">
        <v>48</v>
      </c>
      <c r="K30" s="111"/>
      <c r="L30" s="60" t="s">
        <v>50</v>
      </c>
      <c r="M30" s="60" t="s">
        <v>49</v>
      </c>
      <c r="N30" s="97"/>
    </row>
    <row r="31" spans="3:14" ht="77.25" thickBot="1">
      <c r="C31" s="2" t="s">
        <v>77</v>
      </c>
      <c r="D31" s="85" t="s">
        <v>2</v>
      </c>
      <c r="E31" s="85" t="s">
        <v>3</v>
      </c>
      <c r="F31" s="87" t="s">
        <v>4</v>
      </c>
      <c r="G31" s="88" t="s">
        <v>5</v>
      </c>
      <c r="H31" s="87" t="s">
        <v>36</v>
      </c>
      <c r="I31" s="88" t="s">
        <v>5</v>
      </c>
      <c r="J31" s="87" t="s">
        <v>37</v>
      </c>
      <c r="K31" s="88" t="s">
        <v>5</v>
      </c>
      <c r="L31" s="89" t="s">
        <v>44</v>
      </c>
      <c r="M31" s="89" t="s">
        <v>73</v>
      </c>
      <c r="N31" s="70" t="s">
        <v>7</v>
      </c>
    </row>
    <row r="32" spans="3:14" ht="12.75">
      <c r="C32" s="91">
        <v>2000000</v>
      </c>
      <c r="D32" s="91">
        <v>120000</v>
      </c>
      <c r="E32" s="91">
        <f>C32/2</f>
        <v>1000000</v>
      </c>
      <c r="F32" s="92">
        <v>97</v>
      </c>
      <c r="G32" s="63">
        <v>1.57</v>
      </c>
      <c r="H32" s="58">
        <v>99</v>
      </c>
      <c r="I32" s="59">
        <v>1.57</v>
      </c>
      <c r="J32" s="58">
        <v>99</v>
      </c>
      <c r="K32" s="59">
        <v>1.57</v>
      </c>
      <c r="L32" s="71">
        <v>28.03</v>
      </c>
      <c r="M32" s="71">
        <v>2.95</v>
      </c>
      <c r="N32" s="72">
        <f>0.9*S13</f>
        <v>0</v>
      </c>
    </row>
    <row r="33" spans="1:7" ht="12.75">
      <c r="A33" s="55"/>
      <c r="B33" s="55"/>
      <c r="C33" s="96"/>
      <c r="D33" s="96"/>
      <c r="E33" s="96"/>
      <c r="F33" s="96"/>
      <c r="G33" s="55"/>
    </row>
    <row r="34" spans="1:7" ht="12.75">
      <c r="A34" s="55"/>
      <c r="B34" s="55"/>
      <c r="C34" s="96"/>
      <c r="D34" s="96"/>
      <c r="E34" s="96"/>
      <c r="F34" s="96"/>
      <c r="G34" s="55"/>
    </row>
    <row r="35" spans="1:7" ht="12.75">
      <c r="A35" s="55"/>
      <c r="B35" s="55"/>
      <c r="C35" s="55"/>
      <c r="D35" s="55"/>
      <c r="E35" s="55"/>
      <c r="F35" s="55"/>
      <c r="G35" s="55"/>
    </row>
    <row r="36" spans="1:7" ht="12.75">
      <c r="A36" s="55"/>
      <c r="B36" s="55"/>
      <c r="C36" s="55"/>
      <c r="D36" s="55"/>
      <c r="E36" s="55"/>
      <c r="F36" s="55"/>
      <c r="G36" s="55"/>
    </row>
    <row r="37" spans="1:7" ht="12.75">
      <c r="A37" s="55"/>
      <c r="B37" s="55"/>
      <c r="C37" s="55"/>
      <c r="D37" s="55"/>
      <c r="E37" s="55"/>
      <c r="F37" s="55"/>
      <c r="G37" s="55"/>
    </row>
  </sheetData>
  <mergeCells count="3">
    <mergeCell ref="F30:G30"/>
    <mergeCell ref="H30:I30"/>
    <mergeCell ref="J30:K3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1"/>
  <sheetViews>
    <sheetView zoomScale="75" zoomScaleNormal="75" workbookViewId="0" topLeftCell="A1">
      <selection activeCell="O53" sqref="O53:O56"/>
    </sheetView>
  </sheetViews>
  <sheetFormatPr defaultColWidth="9.140625" defaultRowHeight="12.75"/>
  <cols>
    <col min="1" max="1" width="13.28125" style="0" customWidth="1"/>
    <col min="3" max="3" width="12.28125" style="0" bestFit="1" customWidth="1"/>
    <col min="4" max="4" width="25.8515625" style="0" customWidth="1"/>
    <col min="5" max="5" width="15.140625" style="0" customWidth="1"/>
    <col min="6" max="6" width="14.140625" style="0" customWidth="1"/>
    <col min="7" max="7" width="19.140625" style="0" customWidth="1"/>
    <col min="8" max="8" width="15.00390625" style="0" customWidth="1"/>
    <col min="9" max="9" width="14.57421875" style="0" bestFit="1" customWidth="1"/>
    <col min="10" max="10" width="13.28125" style="0" customWidth="1"/>
    <col min="11" max="11" width="10.57421875" style="0" bestFit="1" customWidth="1"/>
    <col min="12" max="12" width="15.00390625" style="0" customWidth="1"/>
    <col min="13" max="13" width="11.28125" style="0" bestFit="1" customWidth="1"/>
    <col min="14" max="14" width="18.140625" style="0" customWidth="1"/>
    <col min="15" max="15" width="10.57421875" style="0" customWidth="1"/>
    <col min="16" max="16" width="14.00390625" style="0" customWidth="1"/>
    <col min="17" max="17" width="12.28125" style="0" customWidth="1"/>
    <col min="19" max="19" width="10.00390625" style="0" bestFit="1" customWidth="1"/>
  </cols>
  <sheetData>
    <row r="2" ht="12.75">
      <c r="A2" t="s">
        <v>57</v>
      </c>
    </row>
    <row r="3" ht="12.75">
      <c r="A3" t="s">
        <v>58</v>
      </c>
    </row>
    <row r="4" ht="12.75">
      <c r="A4" t="s">
        <v>63</v>
      </c>
    </row>
    <row r="6" spans="1:2" ht="12.75">
      <c r="A6" t="s">
        <v>61</v>
      </c>
      <c r="B6" s="1" t="s">
        <v>56</v>
      </c>
    </row>
    <row r="7" spans="1:19" ht="64.5" thickBot="1">
      <c r="A7" s="39" t="s">
        <v>52</v>
      </c>
      <c r="C7" s="11" t="s">
        <v>28</v>
      </c>
      <c r="D7" s="11" t="s">
        <v>29</v>
      </c>
      <c r="E7" s="11" t="s">
        <v>39</v>
      </c>
      <c r="F7" s="2" t="s">
        <v>35</v>
      </c>
      <c r="G7" s="40" t="s">
        <v>40</v>
      </c>
      <c r="H7" s="11" t="s">
        <v>29</v>
      </c>
      <c r="I7" s="40" t="s">
        <v>41</v>
      </c>
      <c r="J7" s="40" t="s">
        <v>34</v>
      </c>
      <c r="K7" s="40" t="s">
        <v>38</v>
      </c>
      <c r="L7" s="11" t="s">
        <v>29</v>
      </c>
      <c r="M7" s="40" t="s">
        <v>42</v>
      </c>
      <c r="N7" s="40" t="s">
        <v>38</v>
      </c>
      <c r="O7" s="40" t="s">
        <v>43</v>
      </c>
      <c r="P7" s="40" t="s">
        <v>51</v>
      </c>
      <c r="Q7" s="40" t="s">
        <v>54</v>
      </c>
      <c r="R7" s="40" t="s">
        <v>45</v>
      </c>
      <c r="S7" s="40" t="s">
        <v>14</v>
      </c>
    </row>
    <row r="8" spans="1:19" ht="12.75">
      <c r="A8" s="42">
        <f>F18</f>
        <v>540000</v>
      </c>
      <c r="B8" s="12" t="s">
        <v>21</v>
      </c>
      <c r="C8" s="43">
        <v>97</v>
      </c>
      <c r="D8" s="44">
        <f>$F$44-C8</f>
        <v>0</v>
      </c>
      <c r="E8" s="13">
        <f>IF((D8/100*F18)&gt;0,(D8/100*F18),0)</f>
        <v>0</v>
      </c>
      <c r="F8" s="45">
        <f>E8*$G$44</f>
        <v>0</v>
      </c>
      <c r="G8" s="56">
        <v>99</v>
      </c>
      <c r="H8" s="19">
        <f>$H$44-G8</f>
        <v>0</v>
      </c>
      <c r="I8" s="13">
        <f>IF((H8/100*A8)&gt;0,(H8/100*A8),0)</f>
        <v>0</v>
      </c>
      <c r="J8" s="17">
        <f>I8*$I$44</f>
        <v>0</v>
      </c>
      <c r="K8" s="56">
        <v>99</v>
      </c>
      <c r="L8" s="19">
        <f>$J$44-K8</f>
        <v>0</v>
      </c>
      <c r="M8" s="13">
        <f>IF((L8/100*A8)&gt;0,(L8/100*A8),0)</f>
        <v>0</v>
      </c>
      <c r="N8" s="17">
        <f>M8*$K$44</f>
        <v>0</v>
      </c>
      <c r="O8" s="56">
        <v>0</v>
      </c>
      <c r="P8" s="17">
        <f>O8*$L$44</f>
        <v>0</v>
      </c>
      <c r="Q8" s="19">
        <v>0</v>
      </c>
      <c r="R8" s="17">
        <f>Q8*$M$44</f>
        <v>0</v>
      </c>
      <c r="S8" s="17">
        <f>SUM(R8,P8,N8,J8,F8)</f>
        <v>0</v>
      </c>
    </row>
    <row r="9" spans="1:19" ht="12.75">
      <c r="A9" s="42">
        <f>F19</f>
        <v>300000</v>
      </c>
      <c r="B9" s="12" t="s">
        <v>22</v>
      </c>
      <c r="C9" s="49">
        <v>97</v>
      </c>
      <c r="D9" s="50">
        <f>$F$44-C9</f>
        <v>0</v>
      </c>
      <c r="E9" s="22">
        <f>IF((D9/100*F19)&gt;0,(D9/100*F19),0)</f>
        <v>0</v>
      </c>
      <c r="F9" s="45">
        <f>E9*$G$44</f>
        <v>0</v>
      </c>
      <c r="G9" s="57">
        <v>99</v>
      </c>
      <c r="H9" s="28">
        <f>$H$44-G9</f>
        <v>0</v>
      </c>
      <c r="I9" s="22">
        <f>IF((H9/100*A9)&gt;0,(H9/100*A9),0)</f>
        <v>0</v>
      </c>
      <c r="J9" s="26">
        <f>I9*$I$44</f>
        <v>0</v>
      </c>
      <c r="K9" s="57">
        <v>99</v>
      </c>
      <c r="L9" s="28">
        <f>$J$44-K9</f>
        <v>0</v>
      </c>
      <c r="M9" s="22">
        <f>IF((L9/100*A9)&gt;0,(L9/100*A9),0)</f>
        <v>0</v>
      </c>
      <c r="N9" s="26">
        <f>M9*$K$44</f>
        <v>0</v>
      </c>
      <c r="O9" s="57">
        <v>0</v>
      </c>
      <c r="P9" s="26">
        <f>O9*$L$44</f>
        <v>0</v>
      </c>
      <c r="Q9" s="28">
        <v>0</v>
      </c>
      <c r="R9" s="26">
        <f>Q9*$M$44</f>
        <v>0</v>
      </c>
      <c r="S9" s="26">
        <f>SUM(R9,P9,N9,J9,F9)</f>
        <v>0</v>
      </c>
    </row>
    <row r="10" spans="1:19" ht="12.75">
      <c r="A10" s="42">
        <f>F20</f>
        <v>80000</v>
      </c>
      <c r="B10" s="12" t="s">
        <v>23</v>
      </c>
      <c r="C10" s="49">
        <v>97</v>
      </c>
      <c r="D10" s="50">
        <f>$F$44-C10</f>
        <v>0</v>
      </c>
      <c r="E10" s="22">
        <f>IF((D10/100*F20)&gt;0,(D10/100*F20),0)</f>
        <v>0</v>
      </c>
      <c r="F10" s="45">
        <f>E10*$G$44</f>
        <v>0</v>
      </c>
      <c r="G10" s="57">
        <v>99</v>
      </c>
      <c r="H10" s="28">
        <f>$H$44-G10</f>
        <v>0</v>
      </c>
      <c r="I10" s="22">
        <f>IF((H10/100*A10)&gt;0,(H10/100*A10),0)</f>
        <v>0</v>
      </c>
      <c r="J10" s="26">
        <f>I10*$I$44</f>
        <v>0</v>
      </c>
      <c r="K10" s="57">
        <v>99</v>
      </c>
      <c r="L10" s="28">
        <f>$J$44-K10</f>
        <v>0</v>
      </c>
      <c r="M10" s="22">
        <f>IF((L10/100*A10)&gt;0,(L10/100*A10),0)</f>
        <v>0</v>
      </c>
      <c r="N10" s="26">
        <f>M10*$K$44</f>
        <v>0</v>
      </c>
      <c r="O10" s="57">
        <v>0</v>
      </c>
      <c r="P10" s="26">
        <f>O10*$L$44</f>
        <v>0</v>
      </c>
      <c r="Q10" s="28">
        <v>0</v>
      </c>
      <c r="R10" s="26">
        <f>Q10*$M$44</f>
        <v>0</v>
      </c>
      <c r="S10" s="26">
        <f>SUM(R10,P10,N10,J10,F10)</f>
        <v>0</v>
      </c>
    </row>
    <row r="11" spans="1:19" ht="12.75">
      <c r="A11" s="42">
        <f>F21</f>
        <v>70000</v>
      </c>
      <c r="B11" s="12" t="s">
        <v>24</v>
      </c>
      <c r="C11" s="49">
        <v>97</v>
      </c>
      <c r="D11" s="50">
        <f>$F$44-C11</f>
        <v>0</v>
      </c>
      <c r="E11" s="22">
        <f>IF((D11/100*F21)&gt;0,(D11/100*F21),0)</f>
        <v>0</v>
      </c>
      <c r="F11" s="45">
        <f>E11*$G$44</f>
        <v>0</v>
      </c>
      <c r="G11" s="57">
        <v>99</v>
      </c>
      <c r="H11" s="28">
        <f>$H$44-G11</f>
        <v>0</v>
      </c>
      <c r="I11" s="22">
        <f>IF((H11/100*A11)&gt;0,(H11/100*A11),0)</f>
        <v>0</v>
      </c>
      <c r="J11" s="26">
        <f>I11*$I$44</f>
        <v>0</v>
      </c>
      <c r="K11" s="57">
        <v>99</v>
      </c>
      <c r="L11" s="28">
        <f>$J$44-K11</f>
        <v>0</v>
      </c>
      <c r="M11" s="22">
        <f>IF((L11/100*A11)&gt;0,(L11/100*A11),0)</f>
        <v>0</v>
      </c>
      <c r="N11" s="26">
        <f>M11*$K$44</f>
        <v>0</v>
      </c>
      <c r="O11" s="57">
        <v>0</v>
      </c>
      <c r="P11" s="26">
        <f>O11*$L$44</f>
        <v>0</v>
      </c>
      <c r="Q11" s="28">
        <v>0</v>
      </c>
      <c r="R11" s="26">
        <f>Q11*$M$44</f>
        <v>0</v>
      </c>
      <c r="S11" s="26">
        <f>SUM(R11,P11,N11,J11,F11)</f>
        <v>0</v>
      </c>
    </row>
    <row r="12" spans="1:19" ht="12.75">
      <c r="A12" s="42">
        <f>F22</f>
        <v>10000</v>
      </c>
      <c r="B12" s="12" t="s">
        <v>25</v>
      </c>
      <c r="C12" s="49">
        <v>97</v>
      </c>
      <c r="D12" s="50">
        <f>$F$44-C12</f>
        <v>0</v>
      </c>
      <c r="E12" s="22">
        <f>IF((D12/100*F22)&gt;0,(D12/100*F22),0)</f>
        <v>0</v>
      </c>
      <c r="F12" s="45">
        <f>E12*$G$44</f>
        <v>0</v>
      </c>
      <c r="G12" s="57">
        <v>99</v>
      </c>
      <c r="H12" s="28">
        <f>$H$44-G12</f>
        <v>0</v>
      </c>
      <c r="I12" s="22">
        <f>IF((H12/100*A12)&gt;0,(H12/100*A12),0)</f>
        <v>0</v>
      </c>
      <c r="J12" s="26">
        <f>I12*$I$44</f>
        <v>0</v>
      </c>
      <c r="K12" s="57">
        <v>99</v>
      </c>
      <c r="L12" s="28">
        <f>$J$44-K12</f>
        <v>0</v>
      </c>
      <c r="M12" s="22">
        <f>IF((L12/100*A12)&gt;0,(L12/100*A12),0)</f>
        <v>0</v>
      </c>
      <c r="N12" s="26">
        <f>M12*$K$44</f>
        <v>0</v>
      </c>
      <c r="O12" s="57">
        <v>0</v>
      </c>
      <c r="P12" s="26">
        <f>O12*$L$44</f>
        <v>0</v>
      </c>
      <c r="Q12" s="28">
        <v>0</v>
      </c>
      <c r="R12" s="26">
        <f>Q12*$M$44</f>
        <v>0</v>
      </c>
      <c r="S12" s="26">
        <f>SUM(R12,P12,N12,J12,F12)</f>
        <v>0</v>
      </c>
    </row>
    <row r="13" spans="6:19" ht="12.75">
      <c r="F13" s="51">
        <f>SUM(F8:F12)</f>
        <v>0</v>
      </c>
      <c r="S13" s="51">
        <f>SUM(S8:S12)</f>
        <v>0</v>
      </c>
    </row>
    <row r="15" spans="3:5" ht="12.75">
      <c r="C15" s="6"/>
      <c r="D15" s="5"/>
      <c r="E15" s="5"/>
    </row>
    <row r="16" spans="1:7" ht="12.75">
      <c r="A16" t="s">
        <v>8</v>
      </c>
      <c r="B16" s="1" t="s">
        <v>64</v>
      </c>
      <c r="G16" s="42"/>
    </row>
    <row r="17" spans="3:18" ht="64.5" thickBot="1">
      <c r="C17" s="11" t="s">
        <v>9</v>
      </c>
      <c r="D17" s="11" t="s">
        <v>10</v>
      </c>
      <c r="E17" s="11" t="s">
        <v>11</v>
      </c>
      <c r="F17" s="11" t="s">
        <v>12</v>
      </c>
      <c r="G17" s="11" t="s">
        <v>13</v>
      </c>
      <c r="H17" s="11" t="s">
        <v>14</v>
      </c>
      <c r="I17" s="11" t="s">
        <v>15</v>
      </c>
      <c r="J17" s="11" t="s">
        <v>16</v>
      </c>
      <c r="K17" s="11" t="s">
        <v>17</v>
      </c>
      <c r="L17" s="11" t="s">
        <v>18</v>
      </c>
      <c r="M17" s="11" t="s">
        <v>65</v>
      </c>
      <c r="N17" s="11" t="s">
        <v>19</v>
      </c>
      <c r="O17" s="11" t="s">
        <v>55</v>
      </c>
      <c r="P17" s="11" t="s">
        <v>20</v>
      </c>
      <c r="Q17" s="67" t="s">
        <v>6</v>
      </c>
      <c r="R17" s="67" t="s">
        <v>7</v>
      </c>
    </row>
    <row r="18" spans="2:18" ht="12.75">
      <c r="B18" s="12" t="s">
        <v>21</v>
      </c>
      <c r="C18" s="64">
        <v>0.54</v>
      </c>
      <c r="D18" s="13">
        <f>C18*$C$44</f>
        <v>1080000</v>
      </c>
      <c r="E18" s="14">
        <f>D18/$C$44*$D$44</f>
        <v>64800.00000000001</v>
      </c>
      <c r="F18" s="15">
        <f>C18*$E$44</f>
        <v>540000</v>
      </c>
      <c r="G18" s="16">
        <f>F18/$E$44</f>
        <v>0.54</v>
      </c>
      <c r="H18" s="17">
        <f>S8</f>
        <v>0</v>
      </c>
      <c r="I18" s="18">
        <f aca="true" t="shared" si="0" ref="I18:I23">H18*0.9</f>
        <v>0</v>
      </c>
      <c r="J18" s="17">
        <f>((G18*E31)/(($G$18*$E$31)+($G$19*$E$32)+($G$20*$E$33)+($G$21*$E$34)+($G$22*$E$35)))*I18</f>
        <v>0</v>
      </c>
      <c r="K18" s="17">
        <f>H18-J18</f>
        <v>0</v>
      </c>
      <c r="L18" s="19" t="str">
        <f>IF(K18&gt;E18,"yes","no")</f>
        <v>no</v>
      </c>
      <c r="M18" s="20">
        <f>IF(L18="no",K18,H18*E18/K18)</f>
        <v>0</v>
      </c>
      <c r="N18" s="17">
        <f>IF(L18="no",H18,M18)</f>
        <v>0</v>
      </c>
      <c r="O18" s="17">
        <f>((G18*E31)/(($G$18*$E$31)+($G$19*$E$32)+($G$20*$E$33)+($G$21*$E$34)+($G$22*$E$35)))*(0.9*(N23))</f>
        <v>0</v>
      </c>
      <c r="P18" s="21">
        <f>-(O18-N18)</f>
        <v>0</v>
      </c>
      <c r="Q18" s="68">
        <f>0.9*$M$23</f>
        <v>0</v>
      </c>
      <c r="R18" s="66">
        <f>0.9*H23</f>
        <v>0</v>
      </c>
    </row>
    <row r="19" spans="2:18" ht="12.75">
      <c r="B19" s="12" t="s">
        <v>22</v>
      </c>
      <c r="C19" s="65">
        <v>0.3</v>
      </c>
      <c r="D19" s="22">
        <f>C19*$C$44</f>
        <v>600000</v>
      </c>
      <c r="E19" s="23">
        <f>D19/$C$44*$D$44</f>
        <v>36000</v>
      </c>
      <c r="F19" s="24">
        <f>C19*$E$44</f>
        <v>300000</v>
      </c>
      <c r="G19" s="25">
        <f>F19/$E$44</f>
        <v>0.3</v>
      </c>
      <c r="H19" s="26">
        <f>S9</f>
        <v>0</v>
      </c>
      <c r="I19" s="27">
        <f t="shared" si="0"/>
        <v>0</v>
      </c>
      <c r="J19" s="26">
        <f>((G19*E32)/(($G$18*$E$31)+($G$19*$E$32)+($G$20*$E$33)+($G$21*$E$34)+($G$22*$E$35)))*I19</f>
        <v>0</v>
      </c>
      <c r="K19" s="26">
        <f>H19-J19</f>
        <v>0</v>
      </c>
      <c r="L19" s="28" t="str">
        <f>IF(K19&gt;E19,"yes","no")</f>
        <v>no</v>
      </c>
      <c r="M19" s="29">
        <f>IF(L19="no",K19,H19*E19/K19)</f>
        <v>0</v>
      </c>
      <c r="N19" s="48">
        <f>IF(L19="no",H19,M19)</f>
        <v>0</v>
      </c>
      <c r="O19" s="26">
        <f>((G19*E32)/(($G$18*$E$31)+($G$19*$E$32)+($G$20*$E$33)+($G$21*$E$34)+($G$22*$E$35)))*(0.9*(N23))</f>
        <v>0</v>
      </c>
      <c r="P19" s="30">
        <f>-(O19-N19)</f>
        <v>0</v>
      </c>
      <c r="R19" s="3"/>
    </row>
    <row r="20" spans="2:16" ht="12.75">
      <c r="B20" s="12" t="s">
        <v>23</v>
      </c>
      <c r="C20" s="65">
        <v>0.08</v>
      </c>
      <c r="D20" s="22">
        <f>C20*$C$44</f>
        <v>160000</v>
      </c>
      <c r="E20" s="23">
        <f>D20/$C$44*$D$44</f>
        <v>9600</v>
      </c>
      <c r="F20" s="24">
        <f>C20*$E$44</f>
        <v>80000</v>
      </c>
      <c r="G20" s="25">
        <f>F20/$E$44</f>
        <v>0.08</v>
      </c>
      <c r="H20" s="26">
        <f>S10</f>
        <v>0</v>
      </c>
      <c r="I20" s="27">
        <f t="shared" si="0"/>
        <v>0</v>
      </c>
      <c r="J20" s="26">
        <f>((G20*E33)/(($G$18*$E$31)+($G$19*$E$32)+($G$20*$E$33)+($G$21*$E$34)+($G$22*$E$35)))*I20</f>
        <v>0</v>
      </c>
      <c r="K20" s="26">
        <f>H20-J20</f>
        <v>0</v>
      </c>
      <c r="L20" s="28" t="str">
        <f>IF(K20&gt;E20,"yes","no")</f>
        <v>no</v>
      </c>
      <c r="M20" s="29">
        <f>IF(L20="no",K20,H20*E20/K20)</f>
        <v>0</v>
      </c>
      <c r="N20" s="48">
        <f>IF(L20="no",H20,M20)</f>
        <v>0</v>
      </c>
      <c r="O20" s="26">
        <f>((G20*E33)/(($G$18*$E$31)+($G$19*$E$32)+($G$20*$E$33)+($G$21*$E$34)+($G$22*$E$35)))*(0.9*(N23))</f>
        <v>0</v>
      </c>
      <c r="P20" s="30">
        <f>-(O20-N20)</f>
        <v>0</v>
      </c>
    </row>
    <row r="21" spans="2:16" ht="12.75">
      <c r="B21" s="12" t="s">
        <v>24</v>
      </c>
      <c r="C21" s="65">
        <v>0.07</v>
      </c>
      <c r="D21" s="22">
        <f>C21*$C$44</f>
        <v>140000</v>
      </c>
      <c r="E21" s="23">
        <f>D21/$C$44*$D$44</f>
        <v>8400</v>
      </c>
      <c r="F21" s="24">
        <f>C21*$E$44</f>
        <v>70000</v>
      </c>
      <c r="G21" s="25">
        <f>F21/$E$44</f>
        <v>0.07</v>
      </c>
      <c r="H21" s="26">
        <f>S11</f>
        <v>0</v>
      </c>
      <c r="I21" s="27">
        <f t="shared" si="0"/>
        <v>0</v>
      </c>
      <c r="J21" s="26">
        <f>((G21*E34)/(($G$18*$E$31)+($G$19*$E$32)+($G$20*$E$33)+($G$21*$E$34)+($G$22*$E$35)))*I21</f>
        <v>0</v>
      </c>
      <c r="K21" s="26">
        <f>H21-J21</f>
        <v>0</v>
      </c>
      <c r="L21" s="28" t="str">
        <f>IF(K21&gt;E21,"yes","no")</f>
        <v>no</v>
      </c>
      <c r="M21" s="29">
        <f>IF(L21="no",K21,H21*E21/K21)</f>
        <v>0</v>
      </c>
      <c r="N21" s="48">
        <f>IF(L21="no",H21,M21)</f>
        <v>0</v>
      </c>
      <c r="O21" s="26">
        <f>((G21*E34)/(($G$18*$E$31)+($G$19*$E$32)+($G$20*$E$33)+($G$21*$E$34)+($G$22*$E$35)))*(0.9*(N23))</f>
        <v>0</v>
      </c>
      <c r="P21" s="30">
        <f>-(O21-N21)</f>
        <v>0</v>
      </c>
    </row>
    <row r="22" spans="2:17" ht="12.75">
      <c r="B22" s="12" t="s">
        <v>25</v>
      </c>
      <c r="C22" s="65">
        <v>0.01</v>
      </c>
      <c r="D22" s="22">
        <f>C22*$C$44</f>
        <v>20000</v>
      </c>
      <c r="E22" s="23">
        <f>D22/$C$44*$D$44</f>
        <v>1200</v>
      </c>
      <c r="F22" s="24">
        <f>C22*$E$44</f>
        <v>10000</v>
      </c>
      <c r="G22" s="25">
        <f>F22/$E$44</f>
        <v>0.01</v>
      </c>
      <c r="H22" s="26">
        <f>S12</f>
        <v>0</v>
      </c>
      <c r="I22" s="27">
        <f t="shared" si="0"/>
        <v>0</v>
      </c>
      <c r="J22" s="26">
        <f>((G22*E35)/(($G$18*$E$31)+($G$19*$E$32)+($G$20*$E$33)+($G$21*$E$34)+($G$22*$E$35)))*I22</f>
        <v>0</v>
      </c>
      <c r="K22" s="26">
        <f>H22-J22</f>
        <v>0</v>
      </c>
      <c r="L22" s="28" t="str">
        <f>IF(K22&gt;E22,"yes","no")</f>
        <v>no</v>
      </c>
      <c r="M22" s="29">
        <f>IF(L22="no",K22,H22*E22/K22)</f>
        <v>0</v>
      </c>
      <c r="N22" s="48">
        <f>IF(L22="no",H22,M22)</f>
        <v>0</v>
      </c>
      <c r="O22" s="26">
        <f>((G22*E35)/(($G$18*$E$31)+($G$19*$E$32)+($G$20*$E$33)+($G$21*$E$34)+($G$22*$E$35)))*(0.9*(N23))</f>
        <v>0</v>
      </c>
      <c r="P22" s="30">
        <f>-(O22-N22)</f>
        <v>0</v>
      </c>
      <c r="Q22" s="28"/>
    </row>
    <row r="23" spans="2:17" ht="12.75">
      <c r="B23" s="31" t="s">
        <v>26</v>
      </c>
      <c r="C23" s="32">
        <f>SUM(C18:C22)</f>
        <v>1</v>
      </c>
      <c r="D23" s="33">
        <f>SUM(D18:D22)</f>
        <v>2000000</v>
      </c>
      <c r="E23" s="34"/>
      <c r="F23" s="33">
        <f>SUM(F18:F22)</f>
        <v>1000000</v>
      </c>
      <c r="G23" s="34"/>
      <c r="H23" s="30">
        <f>SUM(H18:H22)</f>
        <v>0</v>
      </c>
      <c r="I23" s="35">
        <f t="shared" si="0"/>
        <v>0</v>
      </c>
      <c r="J23" s="28"/>
      <c r="K23" s="28"/>
      <c r="L23" s="28"/>
      <c r="M23" s="30">
        <f>SUM(M18:M22)</f>
        <v>0</v>
      </c>
      <c r="N23" s="51">
        <f>SUM(N18:N22)</f>
        <v>0</v>
      </c>
      <c r="O23" s="51">
        <f>SUM(O18:O22)</f>
        <v>0</v>
      </c>
      <c r="P23" s="30">
        <f>SUM(P18:P22)</f>
        <v>0</v>
      </c>
      <c r="Q23" s="28"/>
    </row>
    <row r="24" spans="13:17" ht="12.75">
      <c r="M24" s="48"/>
      <c r="O24" s="4"/>
      <c r="P24" s="28"/>
      <c r="Q24" s="28"/>
    </row>
    <row r="27" spans="1:2" ht="12.75">
      <c r="A27" t="s">
        <v>27</v>
      </c>
      <c r="B27" s="1" t="s">
        <v>59</v>
      </c>
    </row>
    <row r="28" ht="13.5" thickBot="1"/>
    <row r="29" spans="2:7" ht="12.75">
      <c r="B29" s="36"/>
      <c r="C29" s="37"/>
      <c r="D29" s="37" t="s">
        <v>66</v>
      </c>
      <c r="E29" s="82">
        <f>C36/F23</f>
        <v>0.97</v>
      </c>
      <c r="F29" s="37"/>
      <c r="G29" s="38"/>
    </row>
    <row r="30" spans="2:7" ht="77.25" thickBot="1">
      <c r="B30" s="101"/>
      <c r="C30" s="40" t="s">
        <v>30</v>
      </c>
      <c r="D30" s="40" t="s">
        <v>31</v>
      </c>
      <c r="E30" s="40" t="s">
        <v>60</v>
      </c>
      <c r="F30" s="40" t="s">
        <v>32</v>
      </c>
      <c r="G30" s="41" t="s">
        <v>33</v>
      </c>
    </row>
    <row r="31" spans="2:7" ht="12.75">
      <c r="B31" s="102" t="s">
        <v>21</v>
      </c>
      <c r="C31" s="104">
        <f>C8/100*F18</f>
        <v>523800</v>
      </c>
      <c r="D31" s="105">
        <f>C8-($E$29*100)</f>
        <v>0</v>
      </c>
      <c r="E31" s="19">
        <f>IF(D31&gt;=0,1,0)</f>
        <v>1</v>
      </c>
      <c r="F31" s="17">
        <f>((G18*E31)/(($G$18*$E$31)+($G$19*$E$32)+($G$20*$E$33)+($G$21*$E$34)+($G$22*$E$35)))*$N$44</f>
        <v>0</v>
      </c>
      <c r="G31" s="106">
        <f>S8-F31</f>
        <v>0</v>
      </c>
    </row>
    <row r="32" spans="2:7" ht="12.75">
      <c r="B32" s="102" t="s">
        <v>22</v>
      </c>
      <c r="C32" s="107">
        <f>C9/100*F19</f>
        <v>291000</v>
      </c>
      <c r="D32" s="46">
        <f>C9-($E$29*100)</f>
        <v>0</v>
      </c>
      <c r="E32" s="28">
        <f>IF(D32&gt;=0,1,0)</f>
        <v>1</v>
      </c>
      <c r="F32" s="26">
        <f>((G19*E32)/(($G$18*$E$31)+($G$19*$E$32)+($G$20*$E$33)+($G$21*$E$34)+($G$22*$E$35)))*$N$44</f>
        <v>0</v>
      </c>
      <c r="G32" s="47">
        <f>S9-F32</f>
        <v>0</v>
      </c>
    </row>
    <row r="33" spans="2:7" ht="12.75">
      <c r="B33" s="102" t="s">
        <v>23</v>
      </c>
      <c r="C33" s="107">
        <f>C10/100*F20</f>
        <v>77600</v>
      </c>
      <c r="D33" s="46">
        <f>C10-($E$29*100)</f>
        <v>0</v>
      </c>
      <c r="E33" s="28">
        <f>IF(D33&gt;=0,1,0)</f>
        <v>1</v>
      </c>
      <c r="F33" s="26">
        <f>((G20*E33)/(($G$18*$E$31)+($G$19*$E$32)+($G$20*$E$33)+($G$21*$E$34)+($G$22*$E$35)))*$N$44</f>
        <v>0</v>
      </c>
      <c r="G33" s="47">
        <f>S10-F33</f>
        <v>0</v>
      </c>
    </row>
    <row r="34" spans="2:7" ht="12.75">
      <c r="B34" s="102" t="s">
        <v>24</v>
      </c>
      <c r="C34" s="107">
        <f>C11/100*F21</f>
        <v>67900</v>
      </c>
      <c r="D34" s="46">
        <f>C11-($E$29*100)</f>
        <v>0</v>
      </c>
      <c r="E34" s="28">
        <f>IF(D34&gt;=0,1,0)</f>
        <v>1</v>
      </c>
      <c r="F34" s="26">
        <f>((G21*E34)/(($G$18*$E$31)+($G$19*$E$32)+($G$20*$E$33)+($G$21*$E$34)+($G$22*$E$35)))*$N$44</f>
        <v>0</v>
      </c>
      <c r="G34" s="47">
        <f>S11-F34</f>
        <v>0</v>
      </c>
    </row>
    <row r="35" spans="2:8" ht="12.75">
      <c r="B35" s="102" t="s">
        <v>25</v>
      </c>
      <c r="C35" s="107">
        <f>C12/100*F22</f>
        <v>9700</v>
      </c>
      <c r="D35" s="46">
        <f>C12-($E$29*100)</f>
        <v>0</v>
      </c>
      <c r="E35" s="28">
        <f>IF(D35&gt;=0,1,0)</f>
        <v>1</v>
      </c>
      <c r="F35" s="26">
        <f>((G22*E35)/(($G$18*$E$31)+($G$19*$E$32)+($G$20*$E$33)+($G$21*$E$34)+($G$22*$E$35)))*$N$44</f>
        <v>0</v>
      </c>
      <c r="G35" s="47">
        <f>S12-F35</f>
        <v>0</v>
      </c>
      <c r="H35" s="3"/>
    </row>
    <row r="36" spans="2:7" ht="12.75">
      <c r="B36" s="103" t="s">
        <v>26</v>
      </c>
      <c r="C36" s="108">
        <f>SUM(C31:C35)</f>
        <v>970000</v>
      </c>
      <c r="D36" s="28"/>
      <c r="E36" s="28"/>
      <c r="F36" s="30">
        <f>SUM(F31:F35)</f>
        <v>0</v>
      </c>
      <c r="G36" s="61">
        <f>SUM(G31:G35)</f>
        <v>0</v>
      </c>
    </row>
    <row r="37" spans="2:7" ht="13.5" thickBot="1">
      <c r="B37" s="52"/>
      <c r="C37" s="53"/>
      <c r="D37" s="53"/>
      <c r="E37" s="53"/>
      <c r="F37" s="62"/>
      <c r="G37" s="54"/>
    </row>
    <row r="39" spans="1:7" ht="12.75">
      <c r="A39" s="55"/>
      <c r="B39" s="55"/>
      <c r="C39" s="55"/>
      <c r="D39" s="55"/>
      <c r="E39" s="55"/>
      <c r="F39" s="55"/>
      <c r="G39" s="55"/>
    </row>
    <row r="42" spans="1:13" ht="13.5" thickBot="1">
      <c r="A42" t="s">
        <v>62</v>
      </c>
      <c r="B42" s="1" t="s">
        <v>0</v>
      </c>
      <c r="F42" s="110" t="s">
        <v>46</v>
      </c>
      <c r="G42" s="111"/>
      <c r="H42" s="110" t="s">
        <v>47</v>
      </c>
      <c r="I42" s="111"/>
      <c r="J42" s="110" t="s">
        <v>48</v>
      </c>
      <c r="K42" s="111"/>
      <c r="L42" s="60" t="s">
        <v>50</v>
      </c>
      <c r="M42" s="60" t="s">
        <v>49</v>
      </c>
    </row>
    <row r="43" spans="3:14" ht="77.25" thickBot="1">
      <c r="C43" s="73" t="s">
        <v>1</v>
      </c>
      <c r="D43" s="74" t="s">
        <v>2</v>
      </c>
      <c r="E43" s="74" t="s">
        <v>3</v>
      </c>
      <c r="F43" s="75" t="s">
        <v>4</v>
      </c>
      <c r="G43" s="76" t="s">
        <v>5</v>
      </c>
      <c r="H43" s="75" t="s">
        <v>76</v>
      </c>
      <c r="I43" s="76" t="s">
        <v>5</v>
      </c>
      <c r="J43" s="75" t="s">
        <v>37</v>
      </c>
      <c r="K43" s="76" t="s">
        <v>5</v>
      </c>
      <c r="L43" s="69" t="s">
        <v>44</v>
      </c>
      <c r="M43" s="69" t="s">
        <v>53</v>
      </c>
      <c r="N43" s="70" t="s">
        <v>7</v>
      </c>
    </row>
    <row r="44" spans="3:14" ht="13.5" thickBot="1">
      <c r="C44" s="78">
        <v>2000000</v>
      </c>
      <c r="D44" s="81">
        <v>120000</v>
      </c>
      <c r="E44" s="79">
        <v>1000000</v>
      </c>
      <c r="F44" s="77">
        <v>97</v>
      </c>
      <c r="G44" s="63">
        <v>0.32</v>
      </c>
      <c r="H44" s="58">
        <v>99</v>
      </c>
      <c r="I44" s="59">
        <v>4.62</v>
      </c>
      <c r="J44" s="58">
        <v>99</v>
      </c>
      <c r="K44" s="59">
        <v>4.62</v>
      </c>
      <c r="L44" s="71">
        <v>20</v>
      </c>
      <c r="M44" s="71">
        <v>9.07</v>
      </c>
      <c r="N44" s="72">
        <f>0.9*S13</f>
        <v>0</v>
      </c>
    </row>
    <row r="45" spans="3:11" ht="12.75">
      <c r="C45" s="6"/>
      <c r="D45" s="7"/>
      <c r="E45" s="8"/>
      <c r="F45" s="9"/>
      <c r="G45" s="10"/>
      <c r="H45" s="3"/>
      <c r="K45" s="5"/>
    </row>
    <row r="46" spans="1:7" ht="12.75">
      <c r="A46" s="55"/>
      <c r="B46" s="55"/>
      <c r="C46" s="55"/>
      <c r="D46" s="55"/>
      <c r="E46" s="55"/>
      <c r="F46" s="55"/>
      <c r="G46" s="55"/>
    </row>
    <row r="47" spans="1:7" ht="12.75">
      <c r="A47" s="55"/>
      <c r="B47" s="55"/>
      <c r="C47" s="55"/>
      <c r="D47" s="55"/>
      <c r="E47" s="55"/>
      <c r="F47" s="55"/>
      <c r="G47" s="55"/>
    </row>
    <row r="50" spans="5:6" ht="12.75">
      <c r="E50" s="42"/>
      <c r="F50" s="42"/>
    </row>
    <row r="51" spans="5:6" ht="12.75">
      <c r="E51" s="80"/>
      <c r="F51" s="80"/>
    </row>
  </sheetData>
  <mergeCells count="3">
    <mergeCell ref="F42:G42"/>
    <mergeCell ref="H42:I42"/>
    <mergeCell ref="J42:K4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1"/>
  <sheetViews>
    <sheetView zoomScale="75" zoomScaleNormal="75" workbookViewId="0" topLeftCell="A1">
      <selection activeCell="E16" sqref="E16"/>
    </sheetView>
  </sheetViews>
  <sheetFormatPr defaultColWidth="9.140625" defaultRowHeight="12.75"/>
  <cols>
    <col min="1" max="1" width="10.00390625" style="0" customWidth="1"/>
    <col min="2" max="2" width="13.140625" style="0" customWidth="1"/>
    <col min="3" max="3" width="12.28125" style="0" bestFit="1" customWidth="1"/>
    <col min="4" max="4" width="28.140625" style="0" customWidth="1"/>
    <col min="5" max="5" width="15.140625" style="0" customWidth="1"/>
    <col min="6" max="6" width="14.140625" style="0" customWidth="1"/>
    <col min="7" max="7" width="19.140625" style="0" customWidth="1"/>
    <col min="8" max="8" width="15.00390625" style="0" customWidth="1"/>
    <col min="9" max="9" width="14.57421875" style="0" bestFit="1" customWidth="1"/>
    <col min="10" max="10" width="13.28125" style="0" customWidth="1"/>
    <col min="11" max="11" width="10.57421875" style="0" bestFit="1" customWidth="1"/>
    <col min="12" max="12" width="15.00390625" style="0" customWidth="1"/>
    <col min="13" max="13" width="11.28125" style="0" bestFit="1" customWidth="1"/>
    <col min="14" max="14" width="18.140625" style="0" customWidth="1"/>
    <col min="15" max="15" width="10.57421875" style="0" customWidth="1"/>
    <col min="16" max="16" width="14.00390625" style="0" customWidth="1"/>
    <col min="17" max="17" width="17.421875" style="0" customWidth="1"/>
    <col min="18" max="18" width="18.421875" style="0" customWidth="1"/>
    <col min="19" max="19" width="10.00390625" style="0" bestFit="1" customWidth="1"/>
  </cols>
  <sheetData>
    <row r="2" ht="12.75">
      <c r="A2" t="s">
        <v>57</v>
      </c>
    </row>
    <row r="3" ht="12.75">
      <c r="A3" t="s">
        <v>58</v>
      </c>
    </row>
    <row r="4" ht="12.75">
      <c r="A4" t="s">
        <v>63</v>
      </c>
    </row>
    <row r="6" spans="1:2" ht="12.75">
      <c r="A6" t="s">
        <v>61</v>
      </c>
      <c r="B6" s="1" t="s">
        <v>56</v>
      </c>
    </row>
    <row r="7" spans="1:19" ht="77.25" thickBot="1">
      <c r="A7" s="39" t="s">
        <v>52</v>
      </c>
      <c r="C7" s="11" t="s">
        <v>28</v>
      </c>
      <c r="D7" s="11" t="s">
        <v>29</v>
      </c>
      <c r="E7" s="11" t="s">
        <v>39</v>
      </c>
      <c r="F7" s="2" t="s">
        <v>35</v>
      </c>
      <c r="G7" s="40" t="s">
        <v>40</v>
      </c>
      <c r="H7" s="11" t="s">
        <v>29</v>
      </c>
      <c r="I7" s="40" t="s">
        <v>41</v>
      </c>
      <c r="J7" s="40" t="s">
        <v>34</v>
      </c>
      <c r="K7" s="40" t="s">
        <v>38</v>
      </c>
      <c r="L7" s="11" t="s">
        <v>29</v>
      </c>
      <c r="M7" s="40" t="s">
        <v>42</v>
      </c>
      <c r="N7" s="40" t="s">
        <v>38</v>
      </c>
      <c r="O7" s="40" t="s">
        <v>43</v>
      </c>
      <c r="P7" s="40" t="s">
        <v>51</v>
      </c>
      <c r="Q7" s="40" t="s">
        <v>54</v>
      </c>
      <c r="R7" s="40" t="s">
        <v>45</v>
      </c>
      <c r="S7" s="40" t="s">
        <v>14</v>
      </c>
    </row>
    <row r="8" spans="1:19" ht="12.75">
      <c r="A8" s="42">
        <f>F18</f>
        <v>540000</v>
      </c>
      <c r="B8" s="12" t="s">
        <v>21</v>
      </c>
      <c r="C8" s="43">
        <v>97</v>
      </c>
      <c r="D8" s="44">
        <f>$F$44-C8</f>
        <v>0</v>
      </c>
      <c r="E8" s="13">
        <f>IF((D8/100*F18)&gt;0,(D8/100*F18),0)</f>
        <v>0</v>
      </c>
      <c r="F8" s="45">
        <f>E8*$G$44</f>
        <v>0</v>
      </c>
      <c r="G8" s="56">
        <v>99</v>
      </c>
      <c r="H8" s="19">
        <f>$H$44-G8</f>
        <v>0</v>
      </c>
      <c r="I8" s="13">
        <f>IF((H8/100*A8)&gt;0,(H8/100*A8),0)</f>
        <v>0</v>
      </c>
      <c r="J8" s="17">
        <f>I8*$I$44</f>
        <v>0</v>
      </c>
      <c r="K8" s="56">
        <v>99</v>
      </c>
      <c r="L8" s="19">
        <f>$J$44-K8</f>
        <v>0</v>
      </c>
      <c r="M8" s="13">
        <f>IF((L8/100*A8)&gt;0,(L8/100*A8),0)</f>
        <v>0</v>
      </c>
      <c r="N8" s="17">
        <f>M8*$K$44</f>
        <v>0</v>
      </c>
      <c r="O8" s="56">
        <v>0</v>
      </c>
      <c r="P8" s="17">
        <f>O8*$L$44</f>
        <v>0</v>
      </c>
      <c r="Q8" s="19">
        <v>0</v>
      </c>
      <c r="R8" s="17">
        <f>Q8*$M$44</f>
        <v>0</v>
      </c>
      <c r="S8" s="17">
        <f>SUM(R8,P8,N8,J8,F8)</f>
        <v>0</v>
      </c>
    </row>
    <row r="9" spans="1:19" ht="12.75">
      <c r="A9" s="42">
        <f>F19</f>
        <v>300000</v>
      </c>
      <c r="B9" s="12" t="s">
        <v>22</v>
      </c>
      <c r="C9" s="49">
        <v>97</v>
      </c>
      <c r="D9" s="50">
        <f>$F$44-C9</f>
        <v>0</v>
      </c>
      <c r="E9" s="22">
        <f>IF((D9/100*F19)&gt;0,(D9/100*F19),0)</f>
        <v>0</v>
      </c>
      <c r="F9" s="45">
        <f>E9*$G$44</f>
        <v>0</v>
      </c>
      <c r="G9" s="57">
        <v>99</v>
      </c>
      <c r="H9" s="28">
        <f>$H$44-G9</f>
        <v>0</v>
      </c>
      <c r="I9" s="22">
        <f>IF((H9/100*A9)&gt;0,(H9/100*A9),0)</f>
        <v>0</v>
      </c>
      <c r="J9" s="26">
        <f>I9*$I$44</f>
        <v>0</v>
      </c>
      <c r="K9" s="57">
        <v>99</v>
      </c>
      <c r="L9" s="28">
        <f>$J$44-K9</f>
        <v>0</v>
      </c>
      <c r="M9" s="22">
        <f>IF((L9/100*A9)&gt;0,(L9/100*A9),0)</f>
        <v>0</v>
      </c>
      <c r="N9" s="26">
        <f>M9*$K$44</f>
        <v>0</v>
      </c>
      <c r="O9" s="57">
        <v>0</v>
      </c>
      <c r="P9" s="26">
        <f>O9*$L$44</f>
        <v>0</v>
      </c>
      <c r="Q9" s="28">
        <v>0</v>
      </c>
      <c r="R9" s="26">
        <f>Q9*$M$44</f>
        <v>0</v>
      </c>
      <c r="S9" s="26">
        <f>SUM(R9,P9,N9,J9,F9)</f>
        <v>0</v>
      </c>
    </row>
    <row r="10" spans="1:19" ht="12.75">
      <c r="A10" s="42">
        <f>F20</f>
        <v>80000</v>
      </c>
      <c r="B10" s="12" t="s">
        <v>23</v>
      </c>
      <c r="C10" s="49">
        <v>97</v>
      </c>
      <c r="D10" s="50">
        <f>$F$44-C10</f>
        <v>0</v>
      </c>
      <c r="E10" s="22">
        <f>IF((D10/100*F20)&gt;0,(D10/100*F20),0)</f>
        <v>0</v>
      </c>
      <c r="F10" s="45">
        <f>E10*$G$44</f>
        <v>0</v>
      </c>
      <c r="G10" s="57">
        <v>99</v>
      </c>
      <c r="H10" s="28">
        <f>$H$44-G10</f>
        <v>0</v>
      </c>
      <c r="I10" s="22">
        <f>IF((H10/100*A10)&gt;0,(H10/100*A10),0)</f>
        <v>0</v>
      </c>
      <c r="J10" s="26">
        <f>I10*$I$44</f>
        <v>0</v>
      </c>
      <c r="K10" s="57">
        <v>99</v>
      </c>
      <c r="L10" s="28">
        <f>$J$44-K10</f>
        <v>0</v>
      </c>
      <c r="M10" s="22">
        <f>IF((L10/100*A10)&gt;0,(L10/100*A10),0)</f>
        <v>0</v>
      </c>
      <c r="N10" s="26">
        <f>M10*$K$44</f>
        <v>0</v>
      </c>
      <c r="O10" s="57">
        <v>0</v>
      </c>
      <c r="P10" s="26">
        <f>O10*$L$44</f>
        <v>0</v>
      </c>
      <c r="Q10" s="28">
        <v>0</v>
      </c>
      <c r="R10" s="26">
        <f>Q10*$M$44</f>
        <v>0</v>
      </c>
      <c r="S10" s="26">
        <f>SUM(R10,P10,N10,J10,F10)</f>
        <v>0</v>
      </c>
    </row>
    <row r="11" spans="1:19" ht="12.75">
      <c r="A11" s="42">
        <f>F21</f>
        <v>70000</v>
      </c>
      <c r="B11" s="12" t="s">
        <v>24</v>
      </c>
      <c r="C11" s="49">
        <v>97</v>
      </c>
      <c r="D11" s="50">
        <f>$F$44-C11</f>
        <v>0</v>
      </c>
      <c r="E11" s="22">
        <f>IF((D11/100*F21)&gt;0,(D11/100*F21),0)</f>
        <v>0</v>
      </c>
      <c r="F11" s="45">
        <f>E11*$G$44</f>
        <v>0</v>
      </c>
      <c r="G11" s="57">
        <v>99</v>
      </c>
      <c r="H11" s="28">
        <f>$H$44-G11</f>
        <v>0</v>
      </c>
      <c r="I11" s="22">
        <f>IF((H11/100*A11)&gt;0,(H11/100*A11),0)</f>
        <v>0</v>
      </c>
      <c r="J11" s="26">
        <f>I11*$I$44</f>
        <v>0</v>
      </c>
      <c r="K11" s="57">
        <v>99</v>
      </c>
      <c r="L11" s="28">
        <f>$J$44-K11</f>
        <v>0</v>
      </c>
      <c r="M11" s="22">
        <f>IF((L11/100*A11)&gt;0,(L11/100*A11),0)</f>
        <v>0</v>
      </c>
      <c r="N11" s="26">
        <f>M11*$K$44</f>
        <v>0</v>
      </c>
      <c r="O11" s="57">
        <v>0</v>
      </c>
      <c r="P11" s="26">
        <f>O11*$L$44</f>
        <v>0</v>
      </c>
      <c r="Q11" s="28">
        <v>0</v>
      </c>
      <c r="R11" s="26">
        <f>Q11*$M$44</f>
        <v>0</v>
      </c>
      <c r="S11" s="26">
        <f>SUM(R11,P11,N11,J11,F11)</f>
        <v>0</v>
      </c>
    </row>
    <row r="12" spans="1:19" ht="12.75">
      <c r="A12" s="42">
        <f>F22</f>
        <v>10000</v>
      </c>
      <c r="B12" s="12" t="s">
        <v>25</v>
      </c>
      <c r="C12" s="49">
        <v>97</v>
      </c>
      <c r="D12" s="50">
        <f>$F$44-C12</f>
        <v>0</v>
      </c>
      <c r="E12" s="22">
        <f>IF((D12/100*F22)&gt;0,(D12/100*F22),0)</f>
        <v>0</v>
      </c>
      <c r="F12" s="45">
        <f>E12*$G$44</f>
        <v>0</v>
      </c>
      <c r="G12" s="57">
        <v>99</v>
      </c>
      <c r="H12" s="28">
        <f>$H$44-G12</f>
        <v>0</v>
      </c>
      <c r="I12" s="22">
        <f>IF((H12/100*A12)&gt;0,(H12/100*A12),0)</f>
        <v>0</v>
      </c>
      <c r="J12" s="26">
        <f>I12*$I$44</f>
        <v>0</v>
      </c>
      <c r="K12" s="57">
        <v>99</v>
      </c>
      <c r="L12" s="28">
        <f>$J$44-K12</f>
        <v>0</v>
      </c>
      <c r="M12" s="22">
        <f>IF((L12/100*A12)&gt;0,(L12/100*A12),0)</f>
        <v>0</v>
      </c>
      <c r="N12" s="26">
        <f>M12*$K$44</f>
        <v>0</v>
      </c>
      <c r="O12" s="57">
        <v>0</v>
      </c>
      <c r="P12" s="26">
        <f>O12*$L$44</f>
        <v>0</v>
      </c>
      <c r="Q12" s="28">
        <v>0</v>
      </c>
      <c r="R12" s="26">
        <f>Q12*$M$44</f>
        <v>0</v>
      </c>
      <c r="S12" s="26">
        <f>SUM(R12,P12,N12,J12,F12)</f>
        <v>0</v>
      </c>
    </row>
    <row r="13" spans="6:19" ht="12.75">
      <c r="F13" s="51">
        <f>SUM(F8:F12)</f>
        <v>0</v>
      </c>
      <c r="S13" s="51">
        <f>SUM(S8:S12)</f>
        <v>0</v>
      </c>
    </row>
    <row r="15" spans="3:5" ht="12.75">
      <c r="C15" s="6"/>
      <c r="D15" s="5"/>
      <c r="E15" s="5"/>
    </row>
    <row r="16" spans="1:7" ht="12.75">
      <c r="A16" t="s">
        <v>8</v>
      </c>
      <c r="B16" s="1" t="s">
        <v>64</v>
      </c>
      <c r="G16" s="42"/>
    </row>
    <row r="17" spans="3:18" ht="64.5" thickBot="1">
      <c r="C17" s="11" t="s">
        <v>9</v>
      </c>
      <c r="D17" s="11" t="s">
        <v>10</v>
      </c>
      <c r="E17" s="11" t="s">
        <v>11</v>
      </c>
      <c r="F17" s="11" t="s">
        <v>12</v>
      </c>
      <c r="G17" s="11" t="s">
        <v>13</v>
      </c>
      <c r="H17" s="11" t="s">
        <v>14</v>
      </c>
      <c r="I17" s="11" t="s">
        <v>15</v>
      </c>
      <c r="J17" s="11" t="s">
        <v>16</v>
      </c>
      <c r="K17" s="11" t="s">
        <v>17</v>
      </c>
      <c r="L17" s="11" t="s">
        <v>18</v>
      </c>
      <c r="M17" s="11" t="s">
        <v>65</v>
      </c>
      <c r="N17" s="11" t="s">
        <v>19</v>
      </c>
      <c r="O17" s="11" t="s">
        <v>55</v>
      </c>
      <c r="P17" s="11" t="s">
        <v>20</v>
      </c>
      <c r="Q17" s="67" t="s">
        <v>6</v>
      </c>
      <c r="R17" s="67" t="s">
        <v>7</v>
      </c>
    </row>
    <row r="18" spans="2:18" ht="12.75">
      <c r="B18" s="12" t="s">
        <v>21</v>
      </c>
      <c r="C18" s="64">
        <v>0.54</v>
      </c>
      <c r="D18" s="13">
        <f>C18*$C$44</f>
        <v>1080000</v>
      </c>
      <c r="E18" s="14">
        <f>D18*$D$44*$B$44</f>
        <v>228420</v>
      </c>
      <c r="F18" s="15">
        <f>C18*$E$44</f>
        <v>540000</v>
      </c>
      <c r="G18" s="16">
        <f>F18/$E$44</f>
        <v>0.54</v>
      </c>
      <c r="H18" s="17">
        <f>S8</f>
        <v>0</v>
      </c>
      <c r="I18" s="18">
        <f aca="true" t="shared" si="0" ref="I18:I23">H18*0.9</f>
        <v>0</v>
      </c>
      <c r="J18" s="17">
        <f>((G18*E31)/(($G$18*$E$31)+($G$19*$E$32)+($G$20*$E$33)+($G$21*$E$34)+($G$22*$E$35)))*I18</f>
        <v>0</v>
      </c>
      <c r="K18" s="17">
        <f>H18-J18</f>
        <v>0</v>
      </c>
      <c r="L18" s="19" t="str">
        <f>IF(K18&gt;E18,"yes","no")</f>
        <v>no</v>
      </c>
      <c r="M18" s="20">
        <f>IF(L18="no",K18,H18*E18/K18)</f>
        <v>0</v>
      </c>
      <c r="N18" s="17">
        <f>IF(L18="no",H18,M18)</f>
        <v>0</v>
      </c>
      <c r="O18" s="17">
        <f>((G18*E31)/(($G$18*$E$31)+($G$19*$E$32)+($G$20*$E$33)+($G$21*$E$34)+($G$22*$E$35)))*(0.9*(N23))</f>
        <v>0</v>
      </c>
      <c r="P18" s="21">
        <f>-(O18-N18)</f>
        <v>0</v>
      </c>
      <c r="Q18" s="68">
        <f>0.9*$M$23</f>
        <v>0</v>
      </c>
      <c r="R18" s="66">
        <f>0.9*H23</f>
        <v>0</v>
      </c>
    </row>
    <row r="19" spans="2:18" ht="12.75">
      <c r="B19" s="12" t="s">
        <v>22</v>
      </c>
      <c r="C19" s="65">
        <v>0.3</v>
      </c>
      <c r="D19" s="22">
        <f>C19*$C$44</f>
        <v>600000</v>
      </c>
      <c r="E19" s="23">
        <f>D19*$B$44*$D$44</f>
        <v>126899.99999999999</v>
      </c>
      <c r="F19" s="24">
        <f>C19*$E$44</f>
        <v>300000</v>
      </c>
      <c r="G19" s="25">
        <f>F19/$E$44</f>
        <v>0.3</v>
      </c>
      <c r="H19" s="26">
        <f>S9</f>
        <v>0</v>
      </c>
      <c r="I19" s="27">
        <f t="shared" si="0"/>
        <v>0</v>
      </c>
      <c r="J19" s="26">
        <f>((G19*E32)/(($G$18*$E$31)+($G$19*$E$32)+($G$20*$E$33)+($G$21*$E$34)+($G$22*$E$35)))*I19</f>
        <v>0</v>
      </c>
      <c r="K19" s="26">
        <f>H19-J19</f>
        <v>0</v>
      </c>
      <c r="L19" s="28" t="str">
        <f>IF(K19&gt;E19,"yes","no")</f>
        <v>no</v>
      </c>
      <c r="M19" s="29">
        <f>IF(L19="no",K19,H19*E19/K19)</f>
        <v>0</v>
      </c>
      <c r="N19" s="48">
        <f>IF(L19="no",H19,M19)</f>
        <v>0</v>
      </c>
      <c r="O19" s="26">
        <f>((G19*E32)/(($G$18*$E$31)+($G$19*$E$32)+($G$20*$E$33)+($G$21*$E$34)+($G$22*$E$35)))*(0.9*(N23))</f>
        <v>0</v>
      </c>
      <c r="P19" s="30">
        <f>-(O19-N19)</f>
        <v>0</v>
      </c>
      <c r="R19" s="3"/>
    </row>
    <row r="20" spans="2:16" ht="12.75">
      <c r="B20" s="12" t="s">
        <v>23</v>
      </c>
      <c r="C20" s="65">
        <v>0.08</v>
      </c>
      <c r="D20" s="22">
        <f>C20*$C$44</f>
        <v>160000</v>
      </c>
      <c r="E20" s="23">
        <f>D20*$B$44*$D$44</f>
        <v>33840</v>
      </c>
      <c r="F20" s="24">
        <f>C20*$E$44</f>
        <v>80000</v>
      </c>
      <c r="G20" s="25">
        <f>F20/$E$44</f>
        <v>0.08</v>
      </c>
      <c r="H20" s="26">
        <f>S10</f>
        <v>0</v>
      </c>
      <c r="I20" s="27">
        <f t="shared" si="0"/>
        <v>0</v>
      </c>
      <c r="J20" s="26">
        <f>((G20*E33)/(($G$18*$E$31)+($G$19*$E$32)+($G$20*$E$33)+($G$21*$E$34)+($G$22*$E$35)))*I20</f>
        <v>0</v>
      </c>
      <c r="K20" s="26">
        <f>H20-J20</f>
        <v>0</v>
      </c>
      <c r="L20" s="28" t="str">
        <f>IF(K20&gt;E20,"yes","no")</f>
        <v>no</v>
      </c>
      <c r="M20" s="29">
        <f>IF(L20="no",K20,H20*E20/K20)</f>
        <v>0</v>
      </c>
      <c r="N20" s="48">
        <f>IF(L20="no",H20,M20)</f>
        <v>0</v>
      </c>
      <c r="O20" s="26">
        <f>((G20*E33)/(($G$18*$E$31)+($G$19*$E$32)+($G$20*$E$33)+($G$21*$E$34)+($G$22*$E$35)))*(0.9*(N23))</f>
        <v>0</v>
      </c>
      <c r="P20" s="30">
        <f>-(O20-N20)</f>
        <v>0</v>
      </c>
    </row>
    <row r="21" spans="2:16" ht="12.75">
      <c r="B21" s="12" t="s">
        <v>24</v>
      </c>
      <c r="C21" s="65">
        <v>0.07</v>
      </c>
      <c r="D21" s="22">
        <f>C21*$C$44</f>
        <v>140000</v>
      </c>
      <c r="E21" s="23">
        <f>D21*$B$44*$D$44</f>
        <v>29609.999999999996</v>
      </c>
      <c r="F21" s="24">
        <f>C21*$E$44</f>
        <v>70000</v>
      </c>
      <c r="G21" s="25">
        <f>F21/$E$44</f>
        <v>0.07</v>
      </c>
      <c r="H21" s="26">
        <f>S11</f>
        <v>0</v>
      </c>
      <c r="I21" s="27">
        <f t="shared" si="0"/>
        <v>0</v>
      </c>
      <c r="J21" s="26">
        <f>((G21*E34)/(($G$18*$E$31)+($G$19*$E$32)+($G$20*$E$33)+($G$21*$E$34)+($G$22*$E$35)))*I21</f>
        <v>0</v>
      </c>
      <c r="K21" s="26">
        <f>H21-J21</f>
        <v>0</v>
      </c>
      <c r="L21" s="28" t="str">
        <f>IF(K21&gt;E21,"yes","no")</f>
        <v>no</v>
      </c>
      <c r="M21" s="29">
        <f>IF(L21="no",K21,H21*E21/K21)</f>
        <v>0</v>
      </c>
      <c r="N21" s="48">
        <f>IF(L21="no",H21,M21)</f>
        <v>0</v>
      </c>
      <c r="O21" s="26">
        <f>((G21*E34)/(($G$18*$E$31)+($G$19*$E$32)+($G$20*$E$33)+($G$21*$E$34)+($G$22*$E$35)))*(0.9*(N23))</f>
        <v>0</v>
      </c>
      <c r="P21" s="30">
        <f>-(O21-N21)</f>
        <v>0</v>
      </c>
    </row>
    <row r="22" spans="2:17" ht="12.75">
      <c r="B22" s="12" t="s">
        <v>25</v>
      </c>
      <c r="C22" s="65">
        <v>0.01</v>
      </c>
      <c r="D22" s="22">
        <f>C22*$C$44</f>
        <v>20000</v>
      </c>
      <c r="E22" s="23">
        <f>D22*$B$44*$D$44</f>
        <v>4230</v>
      </c>
      <c r="F22" s="24">
        <f>C22*$E$44</f>
        <v>10000</v>
      </c>
      <c r="G22" s="25">
        <f>F22/$E$44</f>
        <v>0.01</v>
      </c>
      <c r="H22" s="26">
        <f>S12</f>
        <v>0</v>
      </c>
      <c r="I22" s="27">
        <f t="shared" si="0"/>
        <v>0</v>
      </c>
      <c r="J22" s="26">
        <f>((G22*E35)/(($G$18*$E$31)+($G$19*$E$32)+($G$20*$E$33)+($G$21*$E$34)+($G$22*$E$35)))*I22</f>
        <v>0</v>
      </c>
      <c r="K22" s="26">
        <f>H22-J22</f>
        <v>0</v>
      </c>
      <c r="L22" s="28" t="str">
        <f>IF(K22&gt;E22,"yes","no")</f>
        <v>no</v>
      </c>
      <c r="M22" s="29">
        <f>IF(L22="no",K22,H22*E22/K22)</f>
        <v>0</v>
      </c>
      <c r="N22" s="48">
        <f>IF(L22="no",H22,M22)</f>
        <v>0</v>
      </c>
      <c r="O22" s="26">
        <f>((G22*E35)/(($G$18*$E$31)+($G$19*$E$32)+($G$20*$E$33)+($G$21*$E$34)+($G$22*$E$35)))*(0.9*(N23))</f>
        <v>0</v>
      </c>
      <c r="P22" s="30">
        <f>-(O22-N22)</f>
        <v>0</v>
      </c>
      <c r="Q22" s="28"/>
    </row>
    <row r="23" spans="2:17" ht="12.75">
      <c r="B23" s="31" t="s">
        <v>26</v>
      </c>
      <c r="C23" s="32">
        <f>SUM(C18:C22)</f>
        <v>1</v>
      </c>
      <c r="D23" s="33">
        <f>SUM(D18:D22)</f>
        <v>2000000</v>
      </c>
      <c r="E23" s="34"/>
      <c r="F23" s="33">
        <f>SUM(F18:F22)</f>
        <v>1000000</v>
      </c>
      <c r="G23" s="34"/>
      <c r="H23" s="30">
        <f>SUM(H18:H22)</f>
        <v>0</v>
      </c>
      <c r="I23" s="35">
        <f t="shared" si="0"/>
        <v>0</v>
      </c>
      <c r="J23" s="28"/>
      <c r="K23" s="28"/>
      <c r="L23" s="28"/>
      <c r="M23" s="30">
        <f>SUM(M18:M22)</f>
        <v>0</v>
      </c>
      <c r="N23" s="51">
        <f>SUM(N18:N22)</f>
        <v>0</v>
      </c>
      <c r="O23" s="51">
        <f>SUM(O18:O22)</f>
        <v>0</v>
      </c>
      <c r="P23" s="30">
        <f>SUM(P18:P22)</f>
        <v>0</v>
      </c>
      <c r="Q23" s="28"/>
    </row>
    <row r="24" spans="13:17" ht="12.75">
      <c r="M24" s="48"/>
      <c r="O24" s="4"/>
      <c r="P24" s="28"/>
      <c r="Q24" s="28"/>
    </row>
    <row r="27" spans="1:2" ht="12.75">
      <c r="A27" t="s">
        <v>27</v>
      </c>
      <c r="B27" s="1" t="s">
        <v>59</v>
      </c>
    </row>
    <row r="28" ht="13.5" thickBot="1"/>
    <row r="29" spans="2:7" ht="12.75">
      <c r="B29" s="36"/>
      <c r="C29" s="37"/>
      <c r="D29" s="37" t="s">
        <v>66</v>
      </c>
      <c r="E29" s="83">
        <f>C36/F23</f>
        <v>0.97</v>
      </c>
      <c r="F29" s="37"/>
      <c r="G29" s="38"/>
    </row>
    <row r="30" spans="2:7" ht="77.25" thickBot="1">
      <c r="B30" s="101"/>
      <c r="C30" s="40" t="s">
        <v>30</v>
      </c>
      <c r="D30" s="40" t="s">
        <v>31</v>
      </c>
      <c r="E30" s="40" t="s">
        <v>60</v>
      </c>
      <c r="F30" s="40" t="s">
        <v>32</v>
      </c>
      <c r="G30" s="41" t="s">
        <v>33</v>
      </c>
    </row>
    <row r="31" spans="2:7" ht="12.75">
      <c r="B31" s="102" t="s">
        <v>21</v>
      </c>
      <c r="C31" s="104">
        <f>C8/100*F18</f>
        <v>523800</v>
      </c>
      <c r="D31" s="105">
        <f>C8-($E$29*100)</f>
        <v>0</v>
      </c>
      <c r="E31" s="19">
        <f>IF(D31&gt;=0,1,0)</f>
        <v>1</v>
      </c>
      <c r="F31" s="17">
        <f>((G18*E31)/(($G$18*$E$31)+($G$19*$E$32)+($G$20*$E$33)+($G$21*$E$34)+($G$22*$E$35)))*$N$44</f>
        <v>0</v>
      </c>
      <c r="G31" s="106">
        <f>S8-F31</f>
        <v>0</v>
      </c>
    </row>
    <row r="32" spans="2:7" ht="12.75">
      <c r="B32" s="102" t="s">
        <v>22</v>
      </c>
      <c r="C32" s="107">
        <f>C9/100*F19</f>
        <v>291000</v>
      </c>
      <c r="D32" s="46">
        <f>C9-($E$29*100)</f>
        <v>0</v>
      </c>
      <c r="E32" s="28">
        <f>IF(D32&gt;=0,1,0)</f>
        <v>1</v>
      </c>
      <c r="F32" s="26">
        <f>((G19*E32)/(($G$18*$E$31)+($G$19*$E$32)+($G$20*$E$33)+($G$21*$E$34)+($G$22*$E$35)))*$N$44</f>
        <v>0</v>
      </c>
      <c r="G32" s="47">
        <f>S9-F32</f>
        <v>0</v>
      </c>
    </row>
    <row r="33" spans="2:7" ht="12.75">
      <c r="B33" s="102" t="s">
        <v>23</v>
      </c>
      <c r="C33" s="107">
        <f>C10/100*F20</f>
        <v>77600</v>
      </c>
      <c r="D33" s="46">
        <f>C10-($E$29*100)</f>
        <v>0</v>
      </c>
      <c r="E33" s="28">
        <f>IF(D33&gt;=0,1,0)</f>
        <v>1</v>
      </c>
      <c r="F33" s="26">
        <f>((G20*E33)/(($G$18*$E$31)+($G$19*$E$32)+($G$20*$E$33)+($G$21*$E$34)+($G$22*$E$35)))*$N$44</f>
        <v>0</v>
      </c>
      <c r="G33" s="47">
        <f>S10-F33</f>
        <v>0</v>
      </c>
    </row>
    <row r="34" spans="2:7" ht="12.75">
      <c r="B34" s="102" t="s">
        <v>24</v>
      </c>
      <c r="C34" s="107">
        <f>C11/100*F21</f>
        <v>67900</v>
      </c>
      <c r="D34" s="46">
        <f>C11-($E$29*100)</f>
        <v>0</v>
      </c>
      <c r="E34" s="28">
        <f>IF(D34&gt;=0,1,0)</f>
        <v>1</v>
      </c>
      <c r="F34" s="26">
        <f>((G21*E34)/(($G$18*$E$31)+($G$19*$E$32)+($G$20*$E$33)+($G$21*$E$34)+($G$22*$E$35)))*$N$44</f>
        <v>0</v>
      </c>
      <c r="G34" s="47">
        <f>S11-F34</f>
        <v>0</v>
      </c>
    </row>
    <row r="35" spans="2:9" ht="12.75">
      <c r="B35" s="102" t="s">
        <v>25</v>
      </c>
      <c r="C35" s="107">
        <f>C12/100*F22</f>
        <v>9700</v>
      </c>
      <c r="D35" s="46">
        <f>C12-($E$29*100)</f>
        <v>0</v>
      </c>
      <c r="E35" s="28">
        <f>IF(D35&gt;=0,1,0)</f>
        <v>1</v>
      </c>
      <c r="F35" s="26">
        <f>((G22*E35)/(($G$18*$E$31)+($G$19*$E$32)+($G$20*$E$33)+($G$21*$E$34)+($G$22*$E$35)))*$N$44</f>
        <v>0</v>
      </c>
      <c r="G35" s="47">
        <f>S12-F35</f>
        <v>0</v>
      </c>
      <c r="I35" s="3"/>
    </row>
    <row r="36" spans="2:7" ht="12.75">
      <c r="B36" s="103" t="s">
        <v>26</v>
      </c>
      <c r="C36" s="108">
        <f>SUM(C31:C35)</f>
        <v>970000</v>
      </c>
      <c r="D36" s="28"/>
      <c r="E36" s="28"/>
      <c r="F36" s="30">
        <f>SUM(F31:F35)</f>
        <v>0</v>
      </c>
      <c r="G36" s="61">
        <f>SUM(G31:G35)</f>
        <v>0</v>
      </c>
    </row>
    <row r="37" spans="2:7" ht="13.5" thickBot="1">
      <c r="B37" s="52"/>
      <c r="C37" s="53"/>
      <c r="D37" s="53"/>
      <c r="E37" s="53"/>
      <c r="F37" s="62"/>
      <c r="G37" s="54"/>
    </row>
    <row r="39" spans="1:7" ht="12.75">
      <c r="A39" s="55"/>
      <c r="B39" s="55"/>
      <c r="C39" s="55"/>
      <c r="D39" s="55"/>
      <c r="E39" s="55"/>
      <c r="F39" s="55"/>
      <c r="G39" s="55"/>
    </row>
    <row r="42" spans="1:13" ht="13.5" thickBot="1">
      <c r="A42" t="s">
        <v>62</v>
      </c>
      <c r="B42" s="1" t="s">
        <v>0</v>
      </c>
      <c r="F42" s="110" t="s">
        <v>46</v>
      </c>
      <c r="G42" s="111"/>
      <c r="H42" s="110" t="s">
        <v>47</v>
      </c>
      <c r="I42" s="111"/>
      <c r="J42" s="110" t="s">
        <v>48</v>
      </c>
      <c r="K42" s="111"/>
      <c r="L42" s="60" t="s">
        <v>50</v>
      </c>
      <c r="M42" s="60" t="s">
        <v>49</v>
      </c>
    </row>
    <row r="43" spans="2:14" ht="77.25" thickBot="1">
      <c r="B43" s="11" t="s">
        <v>68</v>
      </c>
      <c r="C43" s="109" t="s">
        <v>77</v>
      </c>
      <c r="D43" s="74" t="s">
        <v>67</v>
      </c>
      <c r="E43" s="74" t="s">
        <v>3</v>
      </c>
      <c r="F43" s="75" t="s">
        <v>4</v>
      </c>
      <c r="G43" s="76" t="s">
        <v>5</v>
      </c>
      <c r="H43" s="75" t="s">
        <v>36</v>
      </c>
      <c r="I43" s="76" t="s">
        <v>5</v>
      </c>
      <c r="J43" s="75" t="s">
        <v>37</v>
      </c>
      <c r="K43" s="76" t="s">
        <v>5</v>
      </c>
      <c r="L43" s="69" t="s">
        <v>44</v>
      </c>
      <c r="M43" s="69" t="s">
        <v>53</v>
      </c>
      <c r="N43" s="70" t="s">
        <v>7</v>
      </c>
    </row>
    <row r="44" spans="2:14" ht="13.5" thickBot="1">
      <c r="B44" s="4">
        <v>0.01</v>
      </c>
      <c r="C44" s="78">
        <v>2000000</v>
      </c>
      <c r="D44" s="84">
        <f>18+(17.5%*18)</f>
        <v>21.15</v>
      </c>
      <c r="E44" s="79">
        <v>1000000</v>
      </c>
      <c r="F44" s="77">
        <v>97</v>
      </c>
      <c r="G44" s="63">
        <v>0.32</v>
      </c>
      <c r="H44" s="58">
        <v>99</v>
      </c>
      <c r="I44" s="59">
        <v>4.62</v>
      </c>
      <c r="J44" s="58">
        <v>99</v>
      </c>
      <c r="K44" s="59">
        <v>4.62</v>
      </c>
      <c r="L44" s="71">
        <v>20</v>
      </c>
      <c r="M44" s="71">
        <v>9.07</v>
      </c>
      <c r="N44" s="72">
        <f>0.9*S13</f>
        <v>0</v>
      </c>
    </row>
    <row r="45" spans="3:11" ht="12.75">
      <c r="C45" s="6"/>
      <c r="D45" s="7"/>
      <c r="E45" s="8"/>
      <c r="F45" s="9"/>
      <c r="G45" s="10"/>
      <c r="H45" s="3"/>
      <c r="K45" s="5"/>
    </row>
    <row r="46" spans="1:7" ht="12.75">
      <c r="A46" s="55"/>
      <c r="B46" s="55"/>
      <c r="C46" s="55"/>
      <c r="D46" s="55"/>
      <c r="E46" s="55"/>
      <c r="F46" s="55"/>
      <c r="G46" s="55"/>
    </row>
    <row r="47" spans="1:7" ht="12.75">
      <c r="A47" s="55"/>
      <c r="B47" s="55"/>
      <c r="C47" s="55"/>
      <c r="D47" s="55"/>
      <c r="E47" s="55"/>
      <c r="F47" s="55"/>
      <c r="G47" s="55"/>
    </row>
    <row r="50" spans="5:6" ht="12.75">
      <c r="E50" s="42"/>
      <c r="F50" s="42"/>
    </row>
    <row r="51" spans="5:6" ht="12.75">
      <c r="E51" s="8"/>
      <c r="F51" s="8"/>
    </row>
  </sheetData>
  <mergeCells count="3">
    <mergeCell ref="F42:G42"/>
    <mergeCell ref="H42:I42"/>
    <mergeCell ref="J42:K4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Lopian Wagner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Consultation Attachment 1: Compound Model </dc:title>
  <dc:subject/>
  <dc:creator>mlopian</dc:creator>
  <cp:keywords/>
  <dc:description/>
  <cp:lastModifiedBy>dena.harris</cp:lastModifiedBy>
  <dcterms:created xsi:type="dcterms:W3CDTF">2004-04-08T10:15:47Z</dcterms:created>
  <dcterms:modified xsi:type="dcterms:W3CDTF">2004-05-10T11:10:24Z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-282423208</vt:i4>
  </property>
  <property fmtid="{D5CDD505-2E9C-101B-9397-08002B2CF9AE}" pid="4" name="_EmailSubje">
    <vt:lpwstr>updated: P157</vt:lpwstr>
  </property>
  <property fmtid="{D5CDD505-2E9C-101B-9397-08002B2CF9AE}" pid="5" name="_AuthorEma">
    <vt:lpwstr>dena.harris@elexon.co.uk</vt:lpwstr>
  </property>
  <property fmtid="{D5CDD505-2E9C-101B-9397-08002B2CF9AE}" pid="6" name="_AuthorEmailDisplayNa">
    <vt:lpwstr>Dena Harris</vt:lpwstr>
  </property>
  <property fmtid="{D5CDD505-2E9C-101B-9397-08002B2CF9AE}" pid="7" name="PageTableMappi">
    <vt:lpwstr>P157$Table1</vt:lpwstr>
  </property>
  <property fmtid="{D5CDD505-2E9C-101B-9397-08002B2CF9AE}" pid="8" name="Modified Da">
    <vt:lpwstr>25/05/2004 17:15:13</vt:lpwstr>
  </property>
  <property fmtid="{D5CDD505-2E9C-101B-9397-08002B2CF9AE}" pid="9" name="Creation Da">
    <vt:lpwstr>10/08/2010 16:14:47</vt:lpwstr>
  </property>
  <property fmtid="{D5CDD505-2E9C-101B-9397-08002B2CF9AE}" pid="10" name="ContentType">
    <vt:lpwstr>0x01010B00579FAE2412CD4CFFB83342AAC659839000BEB557DCE35048858A7B825DDB3BAD390044E35225479E415FB07E6BA33E3D456300B2627CD674DC4B519C6B64603B169235005902A8FF46A68D448C4BFE2EBD138E47</vt:lpwstr>
  </property>
  <property fmtid="{D5CDD505-2E9C-101B-9397-08002B2CF9AE}" pid="11" name="ContentTy">
    <vt:lpwstr>Modification Proposal</vt:lpwstr>
  </property>
  <property fmtid="{D5CDD505-2E9C-101B-9397-08002B2CF9AE}" pid="12" name="Page Table Mappi">
    <vt:lpwstr>P157$Table1</vt:lpwstr>
  </property>
  <property fmtid="{D5CDD505-2E9C-101B-9397-08002B2CF9AE}" pid="13" name="Page Table Mappin">
    <vt:lpwstr>P157$Table1</vt:lpwstr>
  </property>
  <property fmtid="{D5CDD505-2E9C-101B-9397-08002B2CF9AE}" pid="14" name="Related Doc N">
    <vt:lpwstr/>
  </property>
  <property fmtid="{D5CDD505-2E9C-101B-9397-08002B2CF9AE}" pid="15" name="Related Document">
    <vt:lpwstr/>
  </property>
</Properties>
</file>